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560" windowHeight="12420"/>
  </bookViews>
  <sheets>
    <sheet name="2016" sheetId="1" r:id="rId1"/>
  </sheets>
  <definedNames>
    <definedName name="_xlnm._FilterDatabase" localSheetId="0" hidden="1">'2016'!$B$2:$R$2</definedName>
  </definedNames>
  <calcPr calcId="125725"/>
</workbook>
</file>

<file path=xl/calcChain.xml><?xml version="1.0" encoding="utf-8"?>
<calcChain xmlns="http://schemas.openxmlformats.org/spreadsheetml/2006/main">
  <c r="R31" i="1"/>
  <c r="R30"/>
  <c r="R29"/>
  <c r="R28"/>
  <c r="R27"/>
  <c r="R26"/>
  <c r="R25"/>
  <c r="R24"/>
  <c r="H33"/>
  <c r="J33"/>
  <c r="L33" s="1"/>
  <c r="H34"/>
  <c r="J34"/>
  <c r="M34" s="1"/>
  <c r="H35"/>
  <c r="J35"/>
  <c r="M35" s="1"/>
  <c r="L35"/>
  <c r="H36"/>
  <c r="J36"/>
  <c r="M36" s="1"/>
  <c r="H37"/>
  <c r="J37"/>
  <c r="L37" s="1"/>
  <c r="H38"/>
  <c r="J38"/>
  <c r="M38" s="1"/>
  <c r="H39"/>
  <c r="J39"/>
  <c r="M39" s="1"/>
  <c r="L39"/>
  <c r="H40"/>
  <c r="J40"/>
  <c r="L40" s="1"/>
  <c r="H41"/>
  <c r="J41"/>
  <c r="L41" s="1"/>
  <c r="H42"/>
  <c r="J42"/>
  <c r="M42" s="1"/>
  <c r="H43"/>
  <c r="J43"/>
  <c r="M43" s="1"/>
  <c r="L43"/>
  <c r="H44"/>
  <c r="J44"/>
  <c r="K46" s="1"/>
  <c r="H45"/>
  <c r="J45"/>
  <c r="L45" s="1"/>
  <c r="H46"/>
  <c r="J46"/>
  <c r="M46" s="1"/>
  <c r="H47"/>
  <c r="J47"/>
  <c r="M47" s="1"/>
  <c r="L47"/>
  <c r="H48"/>
  <c r="J48"/>
  <c r="M48"/>
  <c r="H49"/>
  <c r="J49"/>
  <c r="L49" s="1"/>
  <c r="H50"/>
  <c r="J50"/>
  <c r="M50" s="1"/>
  <c r="H51"/>
  <c r="J51"/>
  <c r="M51" s="1"/>
  <c r="H52"/>
  <c r="J52"/>
  <c r="M52"/>
  <c r="H53"/>
  <c r="J53"/>
  <c r="L53" s="1"/>
  <c r="H54"/>
  <c r="J54"/>
  <c r="M54" s="1"/>
  <c r="H55"/>
  <c r="J55"/>
  <c r="M55" s="1"/>
  <c r="H56"/>
  <c r="J56"/>
  <c r="M56" s="1"/>
  <c r="L56"/>
  <c r="H27"/>
  <c r="J27"/>
  <c r="L27" s="1"/>
  <c r="H28"/>
  <c r="J28"/>
  <c r="M28" s="1"/>
  <c r="H29"/>
  <c r="J29"/>
  <c r="M29" s="1"/>
  <c r="H30"/>
  <c r="J30"/>
  <c r="L30" s="1"/>
  <c r="H31"/>
  <c r="J31"/>
  <c r="L31" s="1"/>
  <c r="H32"/>
  <c r="J32"/>
  <c r="M32" s="1"/>
  <c r="R23"/>
  <c r="M1"/>
  <c r="R22"/>
  <c r="Y43"/>
  <c r="Y44"/>
  <c r="Y45"/>
  <c r="Y46"/>
  <c r="Y47"/>
  <c r="Y48"/>
  <c r="W37"/>
  <c r="W38"/>
  <c r="W39"/>
  <c r="W40"/>
  <c r="W41"/>
  <c r="W42"/>
  <c r="W43"/>
  <c r="W44"/>
  <c r="W45"/>
  <c r="W46"/>
  <c r="W47"/>
  <c r="W48"/>
  <c r="W36"/>
  <c r="V47"/>
  <c r="V48"/>
  <c r="R21"/>
  <c r="J5"/>
  <c r="J6"/>
  <c r="J7"/>
  <c r="J8"/>
  <c r="J9"/>
  <c r="J10"/>
  <c r="J11"/>
  <c r="V39" s="1"/>
  <c r="X39" s="1"/>
  <c r="J12"/>
  <c r="J13"/>
  <c r="J14"/>
  <c r="J15"/>
  <c r="V40" s="1"/>
  <c r="J16"/>
  <c r="J17"/>
  <c r="J18"/>
  <c r="J19"/>
  <c r="L19" s="1"/>
  <c r="J4"/>
  <c r="V36" s="1"/>
  <c r="X36" s="1"/>
  <c r="U10"/>
  <c r="W4" s="1"/>
  <c r="AA4" s="1"/>
  <c r="W10"/>
  <c r="J3"/>
  <c r="J21"/>
  <c r="J22"/>
  <c r="J23"/>
  <c r="V43" s="1"/>
  <c r="X43" s="1"/>
  <c r="L24"/>
  <c r="J25"/>
  <c r="M25" s="1"/>
  <c r="J26"/>
  <c r="J20"/>
  <c r="M20" s="1"/>
  <c r="R20"/>
  <c r="Y42" s="1"/>
  <c r="R19"/>
  <c r="E4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H18"/>
  <c r="L18"/>
  <c r="R18"/>
  <c r="R17"/>
  <c r="R16"/>
  <c r="R15"/>
  <c r="Y40" s="1"/>
  <c r="R4"/>
  <c r="Y36" s="1"/>
  <c r="R5"/>
  <c r="R6"/>
  <c r="R7"/>
  <c r="R8"/>
  <c r="R9"/>
  <c r="R10"/>
  <c r="R11"/>
  <c r="Y39" s="1"/>
  <c r="R12"/>
  <c r="R13"/>
  <c r="R14"/>
  <c r="R3"/>
  <c r="H14"/>
  <c r="H15"/>
  <c r="H16"/>
  <c r="H17"/>
  <c r="H19"/>
  <c r="H20"/>
  <c r="H21"/>
  <c r="H22"/>
  <c r="H23"/>
  <c r="H24"/>
  <c r="H25"/>
  <c r="H26"/>
  <c r="H4"/>
  <c r="H5"/>
  <c r="H6"/>
  <c r="H7"/>
  <c r="H8"/>
  <c r="H9"/>
  <c r="H10"/>
  <c r="H11"/>
  <c r="H12"/>
  <c r="H13"/>
  <c r="H3"/>
  <c r="M5"/>
  <c r="M6"/>
  <c r="M7"/>
  <c r="M8"/>
  <c r="M9"/>
  <c r="L10"/>
  <c r="L11"/>
  <c r="M12"/>
  <c r="M13"/>
  <c r="L14"/>
  <c r="M16"/>
  <c r="M17"/>
  <c r="L22"/>
  <c r="L26"/>
  <c r="L15" l="1"/>
  <c r="Y38"/>
  <c r="Y41"/>
  <c r="V38"/>
  <c r="M44"/>
  <c r="K36"/>
  <c r="K35"/>
  <c r="Y37"/>
  <c r="V41"/>
  <c r="X41" s="1"/>
  <c r="V37"/>
  <c r="X37" s="1"/>
  <c r="L51"/>
  <c r="K50"/>
  <c r="M40"/>
  <c r="L55"/>
  <c r="K54"/>
  <c r="K32"/>
  <c r="Z46"/>
  <c r="V46"/>
  <c r="X46" s="1"/>
  <c r="K28"/>
  <c r="X40"/>
  <c r="Z44"/>
  <c r="X38"/>
  <c r="Z45"/>
  <c r="V45"/>
  <c r="X45" s="1"/>
  <c r="M30"/>
  <c r="L52"/>
  <c r="L48"/>
  <c r="L44"/>
  <c r="L36"/>
  <c r="K34"/>
  <c r="V42"/>
  <c r="X42" s="1"/>
  <c r="K30"/>
  <c r="K29"/>
  <c r="K42"/>
  <c r="K38"/>
  <c r="L29"/>
  <c r="W49"/>
  <c r="V44"/>
  <c r="X44" s="1"/>
  <c r="K55"/>
  <c r="M53"/>
  <c r="K51"/>
  <c r="M49"/>
  <c r="K47"/>
  <c r="M45"/>
  <c r="K43"/>
  <c r="M41"/>
  <c r="K39"/>
  <c r="M37"/>
  <c r="M33"/>
  <c r="L54"/>
  <c r="K53"/>
  <c r="L50"/>
  <c r="K49"/>
  <c r="L46"/>
  <c r="K45"/>
  <c r="L42"/>
  <c r="K41"/>
  <c r="L38"/>
  <c r="K37"/>
  <c r="L34"/>
  <c r="K33"/>
  <c r="K56"/>
  <c r="K52"/>
  <c r="K48"/>
  <c r="K44"/>
  <c r="K40"/>
  <c r="Z43"/>
  <c r="M31"/>
  <c r="M27"/>
  <c r="L32"/>
  <c r="K31"/>
  <c r="L28"/>
  <c r="K27"/>
  <c r="L23"/>
  <c r="Z36"/>
  <c r="Y49"/>
  <c r="Z41"/>
  <c r="Z37"/>
  <c r="Z42"/>
  <c r="Z38"/>
  <c r="Z39"/>
  <c r="Z40"/>
  <c r="Y10"/>
  <c r="AA10" s="1"/>
  <c r="W6"/>
  <c r="U6"/>
  <c r="M21"/>
  <c r="M18"/>
  <c r="K18"/>
  <c r="L6"/>
  <c r="K12"/>
  <c r="K8"/>
  <c r="K6"/>
  <c r="K10"/>
  <c r="K14"/>
  <c r="K24"/>
  <c r="K20"/>
  <c r="K9"/>
  <c r="K13"/>
  <c r="K25"/>
  <c r="K21"/>
  <c r="K7"/>
  <c r="K26"/>
  <c r="K22"/>
  <c r="K11"/>
  <c r="K15"/>
  <c r="K23"/>
  <c r="K19"/>
  <c r="K16"/>
  <c r="K17"/>
  <c r="M26"/>
  <c r="M19"/>
  <c r="M22"/>
  <c r="M14"/>
  <c r="M23"/>
  <c r="M15"/>
  <c r="L7"/>
  <c r="L5"/>
  <c r="M4"/>
  <c r="M11"/>
  <c r="M10"/>
  <c r="L20"/>
  <c r="L16"/>
  <c r="L12"/>
  <c r="M24"/>
  <c r="L25"/>
  <c r="L21"/>
  <c r="L17"/>
  <c r="L13"/>
  <c r="L8"/>
  <c r="L4"/>
  <c r="L9"/>
  <c r="X49" l="1"/>
  <c r="N27"/>
  <c r="V49"/>
  <c r="N47"/>
  <c r="N33"/>
  <c r="N31"/>
  <c r="N42"/>
  <c r="N49"/>
  <c r="N44"/>
  <c r="N51"/>
  <c r="N35"/>
  <c r="N46"/>
  <c r="N53"/>
  <c r="N37"/>
  <c r="N48"/>
  <c r="N55"/>
  <c r="N39"/>
  <c r="N50"/>
  <c r="N34"/>
  <c r="N41"/>
  <c r="N52"/>
  <c r="N36"/>
  <c r="N43"/>
  <c r="N54"/>
  <c r="N38"/>
  <c r="N45"/>
  <c r="O47" s="1"/>
  <c r="N56"/>
  <c r="N40"/>
  <c r="O42" s="1"/>
  <c r="N28"/>
  <c r="N29"/>
  <c r="N32"/>
  <c r="N30"/>
  <c r="Z49"/>
  <c r="AA6"/>
  <c r="N18"/>
  <c r="Y6"/>
  <c r="N22"/>
  <c r="N26"/>
  <c r="N17"/>
  <c r="N21"/>
  <c r="N25"/>
  <c r="N16"/>
  <c r="O18" s="1"/>
  <c r="N20"/>
  <c r="N24"/>
  <c r="N15"/>
  <c r="N19"/>
  <c r="N23"/>
  <c r="N14"/>
  <c r="N13"/>
  <c r="N12"/>
  <c r="N5"/>
  <c r="N9"/>
  <c r="N8"/>
  <c r="N4"/>
  <c r="N10"/>
  <c r="N11"/>
  <c r="N7"/>
  <c r="N6"/>
  <c r="O33" l="1"/>
  <c r="O28"/>
  <c r="O45"/>
  <c r="O36"/>
  <c r="O50"/>
  <c r="O27"/>
  <c r="O31"/>
  <c r="O32"/>
  <c r="O30"/>
  <c r="O37"/>
  <c r="O44"/>
  <c r="O49"/>
  <c r="O56"/>
  <c r="O43"/>
  <c r="O48"/>
  <c r="O51"/>
  <c r="O40"/>
  <c r="O54"/>
  <c r="O41"/>
  <c r="O55"/>
  <c r="O46"/>
  <c r="O34"/>
  <c r="O38"/>
  <c r="O52"/>
  <c r="O39"/>
  <c r="O53"/>
  <c r="O35"/>
  <c r="O29"/>
  <c r="O13"/>
  <c r="O16"/>
  <c r="O10"/>
  <c r="O15"/>
  <c r="O9"/>
  <c r="O6"/>
  <c r="O14"/>
  <c r="O11"/>
  <c r="O8"/>
  <c r="O12"/>
  <c r="O7"/>
  <c r="O25"/>
  <c r="O22"/>
  <c r="O26"/>
  <c r="O21"/>
  <c r="O19"/>
  <c r="O17"/>
  <c r="O23"/>
  <c r="O20"/>
  <c r="O24"/>
</calcChain>
</file>

<file path=xl/comments1.xml><?xml version="1.0" encoding="utf-8"?>
<comments xmlns="http://schemas.openxmlformats.org/spreadsheetml/2006/main">
  <authors>
    <author>Andrew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>Andrew:</t>
        </r>
        <r>
          <rPr>
            <sz val="9"/>
            <color indexed="81"/>
            <rFont val="Tahoma"/>
            <family val="2"/>
          </rPr>
          <t xml:space="preserve">
Used average instead of calculated. See comment.</t>
        </r>
      </text>
    </comment>
  </commentList>
</comments>
</file>

<file path=xl/sharedStrings.xml><?xml version="1.0" encoding="utf-8"?>
<sst xmlns="http://schemas.openxmlformats.org/spreadsheetml/2006/main" count="116" uniqueCount="53">
  <si>
    <t>Date</t>
  </si>
  <si>
    <t>Miles</t>
  </si>
  <si>
    <t>Litres</t>
  </si>
  <si>
    <t>Total Cost</t>
  </si>
  <si>
    <t>-</t>
  </si>
  <si>
    <t>Cost
(Tank)</t>
  </si>
  <si>
    <t>Total Litres</t>
  </si>
  <si>
    <t>Cost
(Ltr)</t>
  </si>
  <si>
    <t>Avg. MPG (actual)</t>
  </si>
  <si>
    <t>Avg. MPG (display)</t>
  </si>
  <si>
    <t>Temp Avg</t>
  </si>
  <si>
    <t>Temp Low</t>
  </si>
  <si>
    <t>ODO Start</t>
  </si>
  <si>
    <t>mi</t>
  </si>
  <si>
    <t>Temp
High</t>
  </si>
  <si>
    <t>Cost per mile (Pence)</t>
  </si>
  <si>
    <t>Odometer</t>
  </si>
  <si>
    <t>Service due in</t>
  </si>
  <si>
    <t>Total Miles</t>
  </si>
  <si>
    <t>MPG
(actual)</t>
  </si>
  <si>
    <t>MPG
(3 tank Avg)</t>
  </si>
  <si>
    <t>Discrep
(Avg)</t>
  </si>
  <si>
    <t>Discrep
(3 tank Avg)</t>
  </si>
  <si>
    <t>MPG
(disp)</t>
  </si>
  <si>
    <t>ODO
(appr.)</t>
  </si>
  <si>
    <t>Month</t>
  </si>
  <si>
    <t>Jul-16</t>
  </si>
  <si>
    <t>Aug-16</t>
  </si>
  <si>
    <t>Sept-16</t>
  </si>
  <si>
    <t>Oct-16</t>
  </si>
  <si>
    <t>Nov-16</t>
  </si>
  <si>
    <t>Dec-16</t>
  </si>
  <si>
    <t>Jan-17</t>
  </si>
  <si>
    <t>Feb-17</t>
  </si>
  <si>
    <t>Mar-17</t>
  </si>
  <si>
    <t>Apr-17</t>
  </si>
  <si>
    <t>Mar-18</t>
  </si>
  <si>
    <t>May-17</t>
  </si>
  <si>
    <t>Jun-17</t>
  </si>
  <si>
    <t>Jul-17</t>
  </si>
  <si>
    <t>Discrep</t>
  </si>
  <si>
    <t>miles</t>
  </si>
  <si>
    <t>Service due by</t>
  </si>
  <si>
    <t>MPG Total</t>
  </si>
  <si>
    <t>Avg MPG per month</t>
  </si>
  <si>
    <t>Monthly fills</t>
  </si>
  <si>
    <t>Total Temp</t>
  </si>
  <si>
    <t>Avg Temp</t>
  </si>
  <si>
    <t>Total</t>
  </si>
  <si>
    <t>Jun-16</t>
  </si>
  <si>
    <t xml:space="preserve">                                 CT200h Fuel Tracker</t>
  </si>
  <si>
    <t>Avg Discrepancy (actual)</t>
  </si>
  <si>
    <t>Avg Discrepancy %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</si>
</sst>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"/>
    <numFmt numFmtId="166" formatCode="&quot;£&quot;#,##0.00"/>
    <numFmt numFmtId="167" formatCode="&quot;£&quot;#,##0.000"/>
    <numFmt numFmtId="168" formatCode="[Red]\-0.##;\+0.##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14" fillId="0" borderId="2" xfId="0" applyNumberFormat="1" applyFont="1" applyBorder="1" applyAlignment="1">
      <alignment horizontal="left" vertical="center"/>
    </xf>
    <xf numFmtId="14" fontId="14" fillId="0" borderId="3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4" fontId="15" fillId="0" borderId="5" xfId="0" applyNumberFormat="1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14" fontId="15" fillId="0" borderId="7" xfId="0" applyNumberFormat="1" applyFont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166" fontId="8" fillId="0" borderId="10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8" fontId="9" fillId="0" borderId="5" xfId="0" applyNumberFormat="1" applyFont="1" applyBorder="1" applyAlignment="1">
      <alignment horizontal="center" vertical="center"/>
    </xf>
    <xf numFmtId="168" fontId="9" fillId="0" borderId="6" xfId="0" applyNumberFormat="1" applyFont="1" applyBorder="1" applyAlignment="1">
      <alignment horizontal="center" vertical="center"/>
    </xf>
    <xf numFmtId="168" fontId="9" fillId="0" borderId="7" xfId="0" applyNumberFormat="1" applyFont="1" applyBorder="1" applyAlignment="1">
      <alignment horizontal="center" vertical="center"/>
    </xf>
    <xf numFmtId="168" fontId="9" fillId="0" borderId="8" xfId="0" applyNumberFormat="1" applyFont="1" applyBorder="1" applyAlignment="1">
      <alignment horizontal="center" vertical="center"/>
    </xf>
    <xf numFmtId="168" fontId="9" fillId="0" borderId="9" xfId="0" applyNumberFormat="1" applyFont="1" applyBorder="1" applyAlignment="1">
      <alignment horizontal="center" vertical="center"/>
    </xf>
    <xf numFmtId="168" fontId="9" fillId="0" borderId="10" xfId="0" applyNumberFormat="1" applyFont="1" applyBorder="1" applyAlignment="1">
      <alignment horizontal="center" vertical="center"/>
    </xf>
    <xf numFmtId="10" fontId="9" fillId="0" borderId="5" xfId="1" applyNumberFormat="1" applyFont="1" applyBorder="1" applyAlignment="1">
      <alignment horizontal="center" vertical="center"/>
    </xf>
    <xf numFmtId="10" fontId="9" fillId="0" borderId="6" xfId="1" applyNumberFormat="1" applyFont="1" applyBorder="1" applyAlignment="1">
      <alignment horizontal="center" vertical="center"/>
    </xf>
    <xf numFmtId="10" fontId="9" fillId="0" borderId="7" xfId="1" applyNumberFormat="1" applyFont="1" applyBorder="1" applyAlignment="1">
      <alignment horizontal="center" vertical="center"/>
    </xf>
    <xf numFmtId="10" fontId="9" fillId="0" borderId="8" xfId="1" applyNumberFormat="1" applyFont="1" applyBorder="1" applyAlignment="1">
      <alignment horizontal="center" vertical="center"/>
    </xf>
    <xf numFmtId="10" fontId="9" fillId="0" borderId="9" xfId="1" applyNumberFormat="1" applyFont="1" applyBorder="1" applyAlignment="1">
      <alignment horizontal="center" vertical="center"/>
    </xf>
    <xf numFmtId="10" fontId="9" fillId="0" borderId="10" xfId="1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9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lightDown">
          <f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lightDown">
          <fgColor rgb="FFFF0000"/>
        </patternFill>
      </fill>
    </dxf>
  </dxfs>
  <tableStyles count="0" defaultTableStyle="TableStyleMedium9" defaultPivotStyle="PivotStyleLight16"/>
  <colors>
    <mruColors>
      <color rgb="FF3809FF"/>
      <color rgb="FF008000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</a:t>
            </a:r>
            <a:r>
              <a:rPr lang="en-US"/>
              <a:t>MPG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'2016'!$I$2</c:f>
              <c:strCache>
                <c:ptCount val="1"/>
                <c:pt idx="0">
                  <c:v>MPG
(disp)</c:v>
                </c:pt>
              </c:strCache>
            </c:strRef>
          </c:tx>
          <c:spPr>
            <a:solidFill>
              <a:srgbClr val="FF0000">
                <a:alpha val="30000"/>
              </a:srgbClr>
            </a:solidFill>
          </c:spPr>
          <c:cat>
            <c:numRef>
              <c:f>'2016'!$B$4:$B$35</c:f>
              <c:numCache>
                <c:formatCode>dd/mm/yyyy</c:formatCode>
                <c:ptCount val="32"/>
                <c:pt idx="0">
                  <c:v>42567</c:v>
                </c:pt>
                <c:pt idx="1">
                  <c:v>42582</c:v>
                </c:pt>
                <c:pt idx="2">
                  <c:v>42599</c:v>
                </c:pt>
                <c:pt idx="3">
                  <c:v>42607</c:v>
                </c:pt>
                <c:pt idx="4">
                  <c:v>42608</c:v>
                </c:pt>
                <c:pt idx="5">
                  <c:v>42616</c:v>
                </c:pt>
                <c:pt idx="6">
                  <c:v>42634</c:v>
                </c:pt>
                <c:pt idx="7">
                  <c:v>42649</c:v>
                </c:pt>
                <c:pt idx="8">
                  <c:v>42656</c:v>
                </c:pt>
                <c:pt idx="9">
                  <c:v>42660</c:v>
                </c:pt>
                <c:pt idx="10">
                  <c:v>42672</c:v>
                </c:pt>
                <c:pt idx="11">
                  <c:v>42686</c:v>
                </c:pt>
                <c:pt idx="12">
                  <c:v>42700</c:v>
                </c:pt>
                <c:pt idx="13">
                  <c:v>42713</c:v>
                </c:pt>
                <c:pt idx="14">
                  <c:v>42716</c:v>
                </c:pt>
                <c:pt idx="15">
                  <c:v>42733</c:v>
                </c:pt>
                <c:pt idx="16">
                  <c:v>42749</c:v>
                </c:pt>
                <c:pt idx="17">
                  <c:v>42763</c:v>
                </c:pt>
                <c:pt idx="18">
                  <c:v>42930</c:v>
                </c:pt>
                <c:pt idx="19">
                  <c:v>42786</c:v>
                </c:pt>
                <c:pt idx="20">
                  <c:v>42796</c:v>
                </c:pt>
                <c:pt idx="21">
                  <c:v>42799</c:v>
                </c:pt>
                <c:pt idx="22">
                  <c:v>42847</c:v>
                </c:pt>
                <c:pt idx="23">
                  <c:v>42861</c:v>
                </c:pt>
                <c:pt idx="24">
                  <c:v>42876</c:v>
                </c:pt>
                <c:pt idx="25">
                  <c:v>42883</c:v>
                </c:pt>
                <c:pt idx="26">
                  <c:v>42889</c:v>
                </c:pt>
                <c:pt idx="27">
                  <c:v>42916</c:v>
                </c:pt>
                <c:pt idx="28">
                  <c:v>42932</c:v>
                </c:pt>
                <c:pt idx="29">
                  <c:v>42946</c:v>
                </c:pt>
                <c:pt idx="30">
                  <c:v>42960</c:v>
                </c:pt>
                <c:pt idx="31">
                  <c:v>42974</c:v>
                </c:pt>
              </c:numCache>
            </c:numRef>
          </c:cat>
          <c:val>
            <c:numRef>
              <c:f>'2016'!$I$4:$I$35</c:f>
              <c:numCache>
                <c:formatCode>0.0</c:formatCode>
                <c:ptCount val="32"/>
                <c:pt idx="0">
                  <c:v>57.7</c:v>
                </c:pt>
                <c:pt idx="1">
                  <c:v>59.6</c:v>
                </c:pt>
                <c:pt idx="2">
                  <c:v>60.3</c:v>
                </c:pt>
                <c:pt idx="3">
                  <c:v>55.9</c:v>
                </c:pt>
                <c:pt idx="4">
                  <c:v>61.6</c:v>
                </c:pt>
                <c:pt idx="5">
                  <c:v>58.1</c:v>
                </c:pt>
                <c:pt idx="6">
                  <c:v>59.2</c:v>
                </c:pt>
                <c:pt idx="7">
                  <c:v>57.3</c:v>
                </c:pt>
                <c:pt idx="8">
                  <c:v>55</c:v>
                </c:pt>
                <c:pt idx="9">
                  <c:v>57.7</c:v>
                </c:pt>
                <c:pt idx="10">
                  <c:v>57.8</c:v>
                </c:pt>
                <c:pt idx="11">
                  <c:v>55.8</c:v>
                </c:pt>
                <c:pt idx="12">
                  <c:v>54.7</c:v>
                </c:pt>
                <c:pt idx="13">
                  <c:v>55.3</c:v>
                </c:pt>
                <c:pt idx="14">
                  <c:v>57.5</c:v>
                </c:pt>
                <c:pt idx="15">
                  <c:v>53.9</c:v>
                </c:pt>
                <c:pt idx="16">
                  <c:v>55.2</c:v>
                </c:pt>
                <c:pt idx="17">
                  <c:v>55.9</c:v>
                </c:pt>
                <c:pt idx="18">
                  <c:v>55.1</c:v>
                </c:pt>
                <c:pt idx="19">
                  <c:v>55.6</c:v>
                </c:pt>
                <c:pt idx="20">
                  <c:v>56</c:v>
                </c:pt>
                <c:pt idx="21">
                  <c:v>54</c:v>
                </c:pt>
                <c:pt idx="22">
                  <c:v>56.5</c:v>
                </c:pt>
                <c:pt idx="23">
                  <c:v>56.9</c:v>
                </c:pt>
                <c:pt idx="24">
                  <c:v>60</c:v>
                </c:pt>
                <c:pt idx="25">
                  <c:v>58.8</c:v>
                </c:pt>
                <c:pt idx="26">
                  <c:v>58.6</c:v>
                </c:pt>
                <c:pt idx="27">
                  <c:v>60.4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0"/>
          <c:order val="1"/>
          <c:tx>
            <c:strRef>
              <c:f>'2016'!$J$2</c:f>
              <c:strCache>
                <c:ptCount val="1"/>
                <c:pt idx="0">
                  <c:v>MPG
(actual)</c:v>
                </c:pt>
              </c:strCache>
            </c:strRef>
          </c:tx>
          <c:spPr>
            <a:solidFill>
              <a:srgbClr val="00B050">
                <a:alpha val="80000"/>
              </a:srgbClr>
            </a:solidFill>
          </c:spPr>
          <c:cat>
            <c:numRef>
              <c:f>'2016'!$B$4:$B$35</c:f>
              <c:numCache>
                <c:formatCode>dd/mm/yyyy</c:formatCode>
                <c:ptCount val="32"/>
                <c:pt idx="0">
                  <c:v>42567</c:v>
                </c:pt>
                <c:pt idx="1">
                  <c:v>42582</c:v>
                </c:pt>
                <c:pt idx="2">
                  <c:v>42599</c:v>
                </c:pt>
                <c:pt idx="3">
                  <c:v>42607</c:v>
                </c:pt>
                <c:pt idx="4">
                  <c:v>42608</c:v>
                </c:pt>
                <c:pt idx="5">
                  <c:v>42616</c:v>
                </c:pt>
                <c:pt idx="6">
                  <c:v>42634</c:v>
                </c:pt>
                <c:pt idx="7">
                  <c:v>42649</c:v>
                </c:pt>
                <c:pt idx="8">
                  <c:v>42656</c:v>
                </c:pt>
                <c:pt idx="9">
                  <c:v>42660</c:v>
                </c:pt>
                <c:pt idx="10">
                  <c:v>42672</c:v>
                </c:pt>
                <c:pt idx="11">
                  <c:v>42686</c:v>
                </c:pt>
                <c:pt idx="12">
                  <c:v>42700</c:v>
                </c:pt>
                <c:pt idx="13">
                  <c:v>42713</c:v>
                </c:pt>
                <c:pt idx="14">
                  <c:v>42716</c:v>
                </c:pt>
                <c:pt idx="15">
                  <c:v>42733</c:v>
                </c:pt>
                <c:pt idx="16">
                  <c:v>42749</c:v>
                </c:pt>
                <c:pt idx="17">
                  <c:v>42763</c:v>
                </c:pt>
                <c:pt idx="18">
                  <c:v>42930</c:v>
                </c:pt>
                <c:pt idx="19">
                  <c:v>42786</c:v>
                </c:pt>
                <c:pt idx="20">
                  <c:v>42796</c:v>
                </c:pt>
                <c:pt idx="21">
                  <c:v>42799</c:v>
                </c:pt>
                <c:pt idx="22">
                  <c:v>42847</c:v>
                </c:pt>
                <c:pt idx="23">
                  <c:v>42861</c:v>
                </c:pt>
                <c:pt idx="24">
                  <c:v>42876</c:v>
                </c:pt>
                <c:pt idx="25">
                  <c:v>42883</c:v>
                </c:pt>
                <c:pt idx="26">
                  <c:v>42889</c:v>
                </c:pt>
                <c:pt idx="27">
                  <c:v>42916</c:v>
                </c:pt>
                <c:pt idx="28">
                  <c:v>42932</c:v>
                </c:pt>
                <c:pt idx="29">
                  <c:v>42946</c:v>
                </c:pt>
                <c:pt idx="30">
                  <c:v>42960</c:v>
                </c:pt>
                <c:pt idx="31">
                  <c:v>42974</c:v>
                </c:pt>
              </c:numCache>
            </c:numRef>
          </c:cat>
          <c:val>
            <c:numRef>
              <c:f>'2016'!$J$4:$J$35</c:f>
              <c:numCache>
                <c:formatCode>0.0</c:formatCode>
                <c:ptCount val="32"/>
                <c:pt idx="0">
                  <c:v>54.410792363067294</c:v>
                </c:pt>
                <c:pt idx="1">
                  <c:v>56.469748804719039</c:v>
                </c:pt>
                <c:pt idx="2">
                  <c:v>55.084575198637914</c:v>
                </c:pt>
                <c:pt idx="3">
                  <c:v>59.786627512195139</c:v>
                </c:pt>
                <c:pt idx="4">
                  <c:v>61.113084391736798</c:v>
                </c:pt>
                <c:pt idx="5">
                  <c:v>52.464093285055974</c:v>
                </c:pt>
                <c:pt idx="6">
                  <c:v>55.60562970385881</c:v>
                </c:pt>
                <c:pt idx="7">
                  <c:v>52.04988245851677</c:v>
                </c:pt>
                <c:pt idx="8">
                  <c:v>49.981241220893644</c:v>
                </c:pt>
                <c:pt idx="9">
                  <c:v>53.061125986955034</c:v>
                </c:pt>
                <c:pt idx="10">
                  <c:v>53.242783409490336</c:v>
                </c:pt>
                <c:pt idx="11">
                  <c:v>50.971312121212129</c:v>
                </c:pt>
                <c:pt idx="12">
                  <c:v>50.02076139347021</c:v>
                </c:pt>
                <c:pt idx="13">
                  <c:v>50.765604772167499</c:v>
                </c:pt>
                <c:pt idx="14">
                  <c:v>52.740696486686396</c:v>
                </c:pt>
                <c:pt idx="15">
                  <c:v>49.145040214067279</c:v>
                </c:pt>
                <c:pt idx="16">
                  <c:v>49.966575301143578</c:v>
                </c:pt>
                <c:pt idx="17">
                  <c:v>51.36649150267062</c:v>
                </c:pt>
                <c:pt idx="18">
                  <c:v>50.71758518070888</c:v>
                </c:pt>
                <c:pt idx="19">
                  <c:v>51.850020901621626</c:v>
                </c:pt>
                <c:pt idx="20">
                  <c:v>51.7</c:v>
                </c:pt>
                <c:pt idx="21">
                  <c:v>50.846030281332624</c:v>
                </c:pt>
                <c:pt idx="22">
                  <c:v>51.434404073033704</c:v>
                </c:pt>
                <c:pt idx="23">
                  <c:v>52.289607233193273</c:v>
                </c:pt>
                <c:pt idx="24">
                  <c:v>55.154566697246466</c:v>
                </c:pt>
                <c:pt idx="25">
                  <c:v>55.460586889510488</c:v>
                </c:pt>
                <c:pt idx="26">
                  <c:v>52.811231565978943</c:v>
                </c:pt>
                <c:pt idx="27">
                  <c:v>57.203785430222474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gapWidth val="7"/>
        <c:overlap val="100"/>
        <c:axId val="148436096"/>
        <c:axId val="148437632"/>
      </c:barChart>
      <c:lineChart>
        <c:grouping val="standard"/>
        <c:ser>
          <c:idx val="2"/>
          <c:order val="2"/>
          <c:tx>
            <c:strRef>
              <c:f>'2016'!$K$2</c:f>
              <c:strCache>
                <c:ptCount val="1"/>
                <c:pt idx="0">
                  <c:v>MPG
(3 tank Avg)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'2016'!$K$4:$K$35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55.321705455474749</c:v>
                </c:pt>
                <c:pt idx="3">
                  <c:v>57.113650505184033</c:v>
                </c:pt>
                <c:pt idx="4">
                  <c:v>58.66142903418995</c:v>
                </c:pt>
                <c:pt idx="5">
                  <c:v>57.787935062995977</c:v>
                </c:pt>
                <c:pt idx="6">
                  <c:v>56.394269126883863</c:v>
                </c:pt>
                <c:pt idx="7">
                  <c:v>53.373201815810518</c:v>
                </c:pt>
                <c:pt idx="8">
                  <c:v>52.545584461089739</c:v>
                </c:pt>
                <c:pt idx="9">
                  <c:v>51.697416555455142</c:v>
                </c:pt>
                <c:pt idx="10">
                  <c:v>52.095050205779671</c:v>
                </c:pt>
                <c:pt idx="11">
                  <c:v>52.425073839219159</c:v>
                </c:pt>
                <c:pt idx="12">
                  <c:v>51.411618974724227</c:v>
                </c:pt>
                <c:pt idx="13">
                  <c:v>50.585892762283287</c:v>
                </c:pt>
                <c:pt idx="14">
                  <c:v>51.175687550774704</c:v>
                </c:pt>
                <c:pt idx="15">
                  <c:v>50.88378049097372</c:v>
                </c:pt>
                <c:pt idx="16">
                  <c:v>50.617437333965746</c:v>
                </c:pt>
                <c:pt idx="17">
                  <c:v>50.159369005960492</c:v>
                </c:pt>
                <c:pt idx="18">
                  <c:v>50.683550661507695</c:v>
                </c:pt>
                <c:pt idx="19">
                  <c:v>51.311365861667042</c:v>
                </c:pt>
                <c:pt idx="20">
                  <c:v>51.422535360776841</c:v>
                </c:pt>
                <c:pt idx="21">
                  <c:v>51.465350394318079</c:v>
                </c:pt>
                <c:pt idx="22">
                  <c:v>51.326811451455448</c:v>
                </c:pt>
                <c:pt idx="23">
                  <c:v>51.523347195853198</c:v>
                </c:pt>
                <c:pt idx="24">
                  <c:v>52.959526001157805</c:v>
                </c:pt>
                <c:pt idx="25">
                  <c:v>54.301586939983416</c:v>
                </c:pt>
                <c:pt idx="26">
                  <c:v>54.475461717578632</c:v>
                </c:pt>
                <c:pt idx="27">
                  <c:v>55.158534628570635</c:v>
                </c:pt>
                <c:pt idx="28">
                  <c:v>36.671672332067139</c:v>
                </c:pt>
                <c:pt idx="29">
                  <c:v>19.067928476740825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1"/>
        </c:ser>
        <c:marker val="1"/>
        <c:axId val="148436096"/>
        <c:axId val="148437632"/>
      </c:lineChart>
      <c:lineChart>
        <c:grouping val="standard"/>
        <c:ser>
          <c:idx val="5"/>
          <c:order val="3"/>
          <c:tx>
            <c:strRef>
              <c:f>'2016'!$R$2</c:f>
              <c:strCache>
                <c:ptCount val="1"/>
                <c:pt idx="0">
                  <c:v>Temp Avg</c:v>
                </c:pt>
              </c:strCache>
            </c:strRef>
          </c:tx>
          <c:spPr>
            <a:ln w="12700">
              <a:solidFill>
                <a:srgbClr val="3809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3809FF"/>
              </a:solidFill>
            </c:spPr>
          </c:marker>
          <c:val>
            <c:numRef>
              <c:f>'2016'!$R$4:$R$35</c:f>
              <c:numCache>
                <c:formatCode>0.0</c:formatCode>
                <c:ptCount val="32"/>
                <c:pt idx="0">
                  <c:v>17</c:v>
                </c:pt>
                <c:pt idx="1">
                  <c:v>21</c:v>
                </c:pt>
                <c:pt idx="2">
                  <c:v>20.5</c:v>
                </c:pt>
                <c:pt idx="3">
                  <c:v>22.5</c:v>
                </c:pt>
                <c:pt idx="4">
                  <c:v>18.5</c:v>
                </c:pt>
                <c:pt idx="5">
                  <c:v>18.5</c:v>
                </c:pt>
                <c:pt idx="6">
                  <c:v>19.5</c:v>
                </c:pt>
                <c:pt idx="7">
                  <c:v>15.5</c:v>
                </c:pt>
                <c:pt idx="8">
                  <c:v>12.5</c:v>
                </c:pt>
                <c:pt idx="9">
                  <c:v>13</c:v>
                </c:pt>
                <c:pt idx="10">
                  <c:v>12</c:v>
                </c:pt>
                <c:pt idx="11">
                  <c:v>10.5</c:v>
                </c:pt>
                <c:pt idx="12">
                  <c:v>8</c:v>
                </c:pt>
                <c:pt idx="13">
                  <c:v>8.5500000000000007</c:v>
                </c:pt>
                <c:pt idx="14">
                  <c:v>8.5</c:v>
                </c:pt>
                <c:pt idx="15">
                  <c:v>6.5</c:v>
                </c:pt>
                <c:pt idx="16">
                  <c:v>5.5</c:v>
                </c:pt>
                <c:pt idx="17">
                  <c:v>4.5</c:v>
                </c:pt>
                <c:pt idx="18">
                  <c:v>6</c:v>
                </c:pt>
                <c:pt idx="19">
                  <c:v>8.5</c:v>
                </c:pt>
                <c:pt idx="20">
                  <c:v>7.5</c:v>
                </c:pt>
                <c:pt idx="21">
                  <c:v>8</c:v>
                </c:pt>
                <c:pt idx="22">
                  <c:v>13.5</c:v>
                </c:pt>
                <c:pt idx="23">
                  <c:v>13</c:v>
                </c:pt>
                <c:pt idx="24">
                  <c:v>16.5</c:v>
                </c:pt>
                <c:pt idx="25">
                  <c:v>20.5</c:v>
                </c:pt>
                <c:pt idx="26">
                  <c:v>18.5</c:v>
                </c:pt>
                <c:pt idx="27">
                  <c:v>21.5</c:v>
                </c:pt>
              </c:numCache>
            </c:numRef>
          </c:val>
          <c:smooth val="1"/>
        </c:ser>
        <c:ser>
          <c:idx val="3"/>
          <c:order val="4"/>
          <c:tx>
            <c:strRef>
              <c:f>'2016'!$O$2</c:f>
              <c:strCache>
                <c:ptCount val="1"/>
                <c:pt idx="0">
                  <c:v>Discrep
(3 tank Avg)</c:v>
                </c:pt>
              </c:strCache>
            </c:strRef>
          </c:tx>
          <c:spPr>
            <a:ln w="25400" cmpd="sng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val>
            <c:numRef>
              <c:f>'2016'!$O$4:$O$35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3.4590771991882652</c:v>
                </c:pt>
                <c:pt idx="3">
                  <c:v>3.0083626636590801</c:v>
                </c:pt>
                <c:pt idx="4">
                  <c:v>2.4874643069330564</c:v>
                </c:pt>
                <c:pt idx="5">
                  <c:v>1.9653149279017414</c:v>
                </c:pt>
                <c:pt idx="6">
                  <c:v>2.1513149530595013</c:v>
                </c:pt>
                <c:pt idx="7">
                  <c:v>2.5487854328420916</c:v>
                </c:pt>
                <c:pt idx="8">
                  <c:v>2.8053671881916049</c:v>
                </c:pt>
                <c:pt idx="9">
                  <c:v>3.0527857887309131</c:v>
                </c:pt>
                <c:pt idx="10">
                  <c:v>3.2254073653015607</c:v>
                </c:pt>
                <c:pt idx="11">
                  <c:v>3.3581852392433102</c:v>
                </c:pt>
                <c:pt idx="12">
                  <c:v>3.4698053252309573</c:v>
                </c:pt>
                <c:pt idx="13">
                  <c:v>3.5643384244734508</c:v>
                </c:pt>
                <c:pt idx="14">
                  <c:v>3.6428531236236865</c:v>
                </c:pt>
                <c:pt idx="15">
                  <c:v>3.712272249267039</c:v>
                </c:pt>
                <c:pt idx="16">
                  <c:v>3.7872714367171345</c:v>
                </c:pt>
                <c:pt idx="17">
                  <c:v>3.8497804145662293</c:v>
                </c:pt>
                <c:pt idx="18">
                  <c:v>3.899044193311648</c:v>
                </c:pt>
                <c:pt idx="19">
                  <c:v>3.9168471981416499</c:v>
                </c:pt>
                <c:pt idx="20">
                  <c:v>3.9283298162172091</c:v>
                </c:pt>
                <c:pt idx="21">
                  <c:v>3.9195307583588597</c:v>
                </c:pt>
                <c:pt idx="22">
                  <c:v>3.9305686783148723</c:v>
                </c:pt>
                <c:pt idx="23">
                  <c:v>3.9447023709655826</c:v>
                </c:pt>
                <c:pt idx="24">
                  <c:v>3.982248062719647</c:v>
                </c:pt>
                <c:pt idx="25">
                  <c:v>3.9942730464603771</c:v>
                </c:pt>
                <c:pt idx="26">
                  <c:v>4.0193851337667779</c:v>
                </c:pt>
                <c:pt idx="27">
                  <c:v>4.0227302501183226</c:v>
                </c:pt>
                <c:pt idx="28">
                  <c:v>4.0347299263386276</c:v>
                </c:pt>
                <c:pt idx="29">
                  <c:v>4.0245041293073944</c:v>
                </c:pt>
                <c:pt idx="30">
                  <c:v>4.0245041293073944</c:v>
                </c:pt>
                <c:pt idx="31">
                  <c:v>4.0245041293073944</c:v>
                </c:pt>
              </c:numCache>
            </c:numRef>
          </c:val>
          <c:smooth val="1"/>
        </c:ser>
        <c:ser>
          <c:idx val="6"/>
          <c:order val="5"/>
          <c:tx>
            <c:strRef>
              <c:f>'2016'!$L$2:$M$2</c:f>
              <c:strCache>
                <c:ptCount val="1"/>
                <c:pt idx="0">
                  <c:v>Discrep</c:v>
                </c:pt>
              </c:strCache>
            </c:strRef>
          </c:tx>
          <c:spPr>
            <a:ln>
              <a:solidFill>
                <a:srgbClr val="7030A0"/>
              </a:solidFill>
            </a:ln>
            <a:effectLst/>
          </c:spPr>
          <c:marker>
            <c:symbol val="none"/>
          </c:marker>
          <c:val>
            <c:numRef>
              <c:f>'2016'!$L$4:$L$35</c:f>
              <c:numCache>
                <c:formatCode>0.0</c:formatCode>
                <c:ptCount val="32"/>
                <c:pt idx="0">
                  <c:v>3.2892076369327086</c:v>
                </c:pt>
                <c:pt idx="1">
                  <c:v>3.1302511952809624</c:v>
                </c:pt>
                <c:pt idx="2">
                  <c:v>5.215424801362083</c:v>
                </c:pt>
                <c:pt idx="3">
                  <c:v>-3.8866275121951404</c:v>
                </c:pt>
                <c:pt idx="4">
                  <c:v>0.48691560826320313</c:v>
                </c:pt>
                <c:pt idx="5">
                  <c:v>5.6359067149440278</c:v>
                </c:pt>
                <c:pt idx="6">
                  <c:v>3.594370296141193</c:v>
                </c:pt>
                <c:pt idx="7">
                  <c:v>5.2501175414832275</c:v>
                </c:pt>
                <c:pt idx="8">
                  <c:v>5.0187587791063564</c:v>
                </c:pt>
                <c:pt idx="9">
                  <c:v>4.638874013044969</c:v>
                </c:pt>
                <c:pt idx="10">
                  <c:v>4.5572165905096611</c:v>
                </c:pt>
                <c:pt idx="11">
                  <c:v>4.8286878787878678</c:v>
                </c:pt>
                <c:pt idx="12">
                  <c:v>4.6792386065297933</c:v>
                </c:pt>
                <c:pt idx="13">
                  <c:v>4.5343952278324977</c:v>
                </c:pt>
                <c:pt idx="14">
                  <c:v>4.7593035133136041</c:v>
                </c:pt>
                <c:pt idx="15">
                  <c:v>4.7549597859327193</c:v>
                </c:pt>
                <c:pt idx="16">
                  <c:v>5.2334246988564246</c:v>
                </c:pt>
                <c:pt idx="17">
                  <c:v>4.5335084973293789</c:v>
                </c:pt>
                <c:pt idx="18">
                  <c:v>4.382414819291121</c:v>
                </c:pt>
                <c:pt idx="19">
                  <c:v>3.7499790983783754</c:v>
                </c:pt>
                <c:pt idx="20">
                  <c:v>4.2999999999999972</c:v>
                </c:pt>
                <c:pt idx="21">
                  <c:v>3.1539697186673763</c:v>
                </c:pt>
                <c:pt idx="22">
                  <c:v>5.0655959269662958</c:v>
                </c:pt>
                <c:pt idx="23">
                  <c:v>4.6103927668067257</c:v>
                </c:pt>
                <c:pt idx="24">
                  <c:v>4.8454333027535341</c:v>
                </c:pt>
                <c:pt idx="25">
                  <c:v>3.3394131104895095</c:v>
                </c:pt>
                <c:pt idx="26">
                  <c:v>5.7887684340210583</c:v>
                </c:pt>
                <c:pt idx="27">
                  <c:v>3.1962145697775242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marker val="1"/>
        <c:axId val="140003200"/>
        <c:axId val="140001664"/>
      </c:lineChart>
      <c:catAx>
        <c:axId val="148436096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48437632"/>
        <c:crosses val="autoZero"/>
        <c:lblAlgn val="ctr"/>
        <c:lblOffset val="100"/>
      </c:catAx>
      <c:valAx>
        <c:axId val="148437632"/>
        <c:scaling>
          <c:orientation val="minMax"/>
          <c:max val="62"/>
          <c:min val="48"/>
        </c:scaling>
        <c:axPos val="l"/>
        <c:majorGridlines/>
        <c:minorGridlines/>
        <c:numFmt formatCode="0" sourceLinked="0"/>
        <c:minorTickMark val="out"/>
        <c:tickLblPos val="nextTo"/>
        <c:crossAx val="148436096"/>
        <c:crosses val="autoZero"/>
        <c:crossBetween val="between"/>
        <c:minorUnit val="1"/>
      </c:valAx>
      <c:valAx>
        <c:axId val="140001664"/>
        <c:scaling>
          <c:orientation val="minMax"/>
          <c:max val="25"/>
          <c:min val="-5"/>
        </c:scaling>
        <c:axPos val="r"/>
        <c:numFmt formatCode="0" sourceLinked="0"/>
        <c:tickLblPos val="nextTo"/>
        <c:crossAx val="140003200"/>
        <c:crosses val="max"/>
        <c:crossBetween val="between"/>
      </c:valAx>
      <c:catAx>
        <c:axId val="140003200"/>
        <c:scaling>
          <c:orientation val="minMax"/>
        </c:scaling>
        <c:delete val="1"/>
        <c:axPos val="b"/>
        <c:tickLblPos val="none"/>
        <c:crossAx val="140001664"/>
        <c:crosses val="autoZero"/>
        <c:lblAlgn val="ctr"/>
        <c:lblOffset val="100"/>
      </c:catAx>
      <c:spPr>
        <a:solidFill>
          <a:schemeClr val="bg1">
            <a:lumMod val="85000"/>
          </a:schemeClr>
        </a:solidFill>
      </c:spPr>
    </c:plotArea>
    <c:legend>
      <c:legendPos val="b"/>
      <c:layout/>
    </c:legend>
    <c:plotVisOnly val="1"/>
    <c:dispBlanksAs val="gap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clustered"/>
        <c:ser>
          <c:idx val="0"/>
          <c:order val="0"/>
          <c:tx>
            <c:strRef>
              <c:f>'2016'!$X$35</c:f>
              <c:strCache>
                <c:ptCount val="1"/>
                <c:pt idx="0">
                  <c:v>Avg MPG per month</c:v>
                </c:pt>
              </c:strCache>
            </c:strRef>
          </c:tx>
          <c:spPr>
            <a:solidFill>
              <a:srgbClr val="008000"/>
            </a:solidFill>
          </c:spPr>
          <c:cat>
            <c:strRef>
              <c:f>'2016'!$U$36:$U$48</c:f>
              <c:strCache>
                <c:ptCount val="13"/>
                <c:pt idx="0">
                  <c:v>Jul-16</c:v>
                </c:pt>
                <c:pt idx="1">
                  <c:v>Aug-16</c:v>
                </c:pt>
                <c:pt idx="2">
                  <c:v>Sept-16</c:v>
                </c:pt>
                <c:pt idx="3">
                  <c:v>Oct-16</c:v>
                </c:pt>
                <c:pt idx="4">
                  <c:v>Nov-16</c:v>
                </c:pt>
                <c:pt idx="5">
                  <c:v>Dec-16</c:v>
                </c:pt>
                <c:pt idx="6">
                  <c:v>Jan-17</c:v>
                </c:pt>
                <c:pt idx="7">
                  <c:v>Feb-17</c:v>
                </c:pt>
                <c:pt idx="8">
                  <c:v>Mar-17</c:v>
                </c:pt>
                <c:pt idx="9">
                  <c:v>Apr-17</c:v>
                </c:pt>
                <c:pt idx="10">
                  <c:v>May-17</c:v>
                </c:pt>
                <c:pt idx="11">
                  <c:v>Jun-17</c:v>
                </c:pt>
                <c:pt idx="12">
                  <c:v>Jul-17</c:v>
                </c:pt>
              </c:strCache>
            </c:strRef>
          </c:cat>
          <c:val>
            <c:numRef>
              <c:f>'2016'!$X$36:$X$48</c:f>
              <c:numCache>
                <c:formatCode>0.0</c:formatCode>
                <c:ptCount val="13"/>
                <c:pt idx="0">
                  <c:v>55.440270583893167</c:v>
                </c:pt>
                <c:pt idx="1">
                  <c:v>58.66142903418995</c:v>
                </c:pt>
                <c:pt idx="2">
                  <c:v>54.034861494457388</c:v>
                </c:pt>
                <c:pt idx="3">
                  <c:v>52.08375826896394</c:v>
                </c:pt>
                <c:pt idx="4">
                  <c:v>50.496036757341173</c:v>
                </c:pt>
                <c:pt idx="5">
                  <c:v>50.88378049097372</c:v>
                </c:pt>
                <c:pt idx="6">
                  <c:v>50.666533401907103</c:v>
                </c:pt>
                <c:pt idx="7">
                  <c:v>51.283803041165257</c:v>
                </c:pt>
                <c:pt idx="8">
                  <c:v>51.7</c:v>
                </c:pt>
                <c:pt idx="9">
                  <c:v>51.434404073033704</c:v>
                </c:pt>
                <c:pt idx="10">
                  <c:v>54.301586939983416</c:v>
                </c:pt>
              </c:numCache>
            </c:numRef>
          </c:val>
        </c:ser>
        <c:gapWidth val="40"/>
        <c:axId val="140032256"/>
        <c:axId val="140038528"/>
      </c:barChart>
      <c:lineChart>
        <c:grouping val="standard"/>
        <c:ser>
          <c:idx val="1"/>
          <c:order val="1"/>
          <c:tx>
            <c:strRef>
              <c:f>'2016'!$Z$35</c:f>
              <c:strCache>
                <c:ptCount val="1"/>
                <c:pt idx="0">
                  <c:v>Avg Temp</c:v>
                </c:pt>
              </c:strCache>
            </c:strRef>
          </c:tx>
          <c:spPr>
            <a:ln w="25400">
              <a:solidFill>
                <a:srgbClr val="3809FF"/>
              </a:solidFill>
            </a:ln>
          </c:spPr>
          <c:marker>
            <c:symbol val="square"/>
            <c:size val="5"/>
            <c:spPr>
              <a:noFill/>
              <a:ln w="44450">
                <a:noFill/>
              </a:ln>
            </c:spPr>
          </c:marker>
          <c:val>
            <c:numRef>
              <c:f>'2016'!$Z$36:$Z$48</c:f>
              <c:numCache>
                <c:formatCode>General</c:formatCode>
                <c:ptCount val="13"/>
                <c:pt idx="0">
                  <c:v>19</c:v>
                </c:pt>
                <c:pt idx="1">
                  <c:v>20.5</c:v>
                </c:pt>
                <c:pt idx="2">
                  <c:v>19</c:v>
                </c:pt>
                <c:pt idx="3">
                  <c:v>13.25</c:v>
                </c:pt>
                <c:pt idx="4">
                  <c:v>9.25</c:v>
                </c:pt>
                <c:pt idx="5">
                  <c:v>7.8500000000000005</c:v>
                </c:pt>
                <c:pt idx="6">
                  <c:v>5</c:v>
                </c:pt>
                <c:pt idx="7">
                  <c:v>7.25</c:v>
                </c:pt>
                <c:pt idx="8">
                  <c:v>7.5</c:v>
                </c:pt>
                <c:pt idx="9">
                  <c:v>13.5</c:v>
                </c:pt>
                <c:pt idx="10">
                  <c:v>16.666666666666668</c:v>
                </c:pt>
              </c:numCache>
            </c:numRef>
          </c:val>
          <c:smooth val="1"/>
        </c:ser>
        <c:marker val="1"/>
        <c:axId val="140042624"/>
        <c:axId val="140040448"/>
      </c:lineChart>
      <c:catAx>
        <c:axId val="140032256"/>
        <c:scaling>
          <c:orientation val="minMax"/>
        </c:scaling>
        <c:axPos val="b"/>
        <c:tickLblPos val="nextTo"/>
        <c:crossAx val="140038528"/>
        <c:crosses val="autoZero"/>
        <c:auto val="1"/>
        <c:lblAlgn val="ctr"/>
        <c:lblOffset val="100"/>
      </c:catAx>
      <c:valAx>
        <c:axId val="140038528"/>
        <c:scaling>
          <c:orientation val="minMax"/>
          <c:min val="4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Avg MPG</a:t>
                </a:r>
              </a:p>
            </c:rich>
          </c:tx>
          <c:layout/>
        </c:title>
        <c:numFmt formatCode="0.0" sourceLinked="1"/>
        <c:tickLblPos val="nextTo"/>
        <c:crossAx val="140032256"/>
        <c:crosses val="autoZero"/>
        <c:crossBetween val="between"/>
      </c:valAx>
      <c:valAx>
        <c:axId val="140040448"/>
        <c:scaling>
          <c:orientation val="minMax"/>
          <c:max val="25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Avg Temperature (deg C)</a:t>
                </a:r>
              </a:p>
            </c:rich>
          </c:tx>
          <c:layout/>
        </c:title>
        <c:numFmt formatCode="General" sourceLinked="1"/>
        <c:tickLblPos val="nextTo"/>
        <c:crossAx val="140042624"/>
        <c:crosses val="max"/>
        <c:crossBetween val="between"/>
      </c:valAx>
      <c:catAx>
        <c:axId val="140042624"/>
        <c:scaling>
          <c:orientation val="minMax"/>
        </c:scaling>
        <c:delete val="1"/>
        <c:axPos val="b"/>
        <c:tickLblPos val="none"/>
        <c:crossAx val="140040448"/>
        <c:crosses val="autoZero"/>
        <c:auto val="1"/>
        <c:lblAlgn val="ctr"/>
        <c:lblOffset val="100"/>
      </c:cat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104774</xdr:colOff>
      <xdr:row>12</xdr:row>
      <xdr:rowOff>57149</xdr:rowOff>
    </xdr:from>
    <xdr:to>
      <xdr:col>31</xdr:col>
      <xdr:colOff>247649</xdr:colOff>
      <xdr:row>24</xdr:row>
      <xdr:rowOff>219074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104774</xdr:colOff>
      <xdr:row>25</xdr:row>
      <xdr:rowOff>85725</xdr:rowOff>
    </xdr:from>
    <xdr:to>
      <xdr:col>31</xdr:col>
      <xdr:colOff>247649</xdr:colOff>
      <xdr:row>33</xdr:row>
      <xdr:rowOff>228600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9526</xdr:colOff>
      <xdr:row>0</xdr:row>
      <xdr:rowOff>28576</xdr:rowOff>
    </xdr:from>
    <xdr:to>
      <xdr:col>3</xdr:col>
      <xdr:colOff>180975</xdr:colOff>
      <xdr:row>0</xdr:row>
      <xdr:rowOff>287151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6" y="28576"/>
          <a:ext cx="1238249" cy="258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D56"/>
  <sheetViews>
    <sheetView showGridLines="0" tabSelected="1" zoomScaleNormal="100" workbookViewId="0">
      <pane ySplit="2" topLeftCell="A3" activePane="bottomLeft" state="frozen"/>
      <selection pane="bottomLeft" activeCell="V2" sqref="V2"/>
    </sheetView>
  </sheetViews>
  <sheetFormatPr defaultRowHeight="15"/>
  <cols>
    <col min="1" max="1" width="0.85546875" customWidth="1"/>
    <col min="2" max="2" width="9.28515625" style="1" bestFit="1" customWidth="1"/>
    <col min="3" max="3" width="6.7109375" style="1" bestFit="1" customWidth="1"/>
    <col min="4" max="4" width="5.28515625" style="1" customWidth="1"/>
    <col min="5" max="5" width="7" style="20" bestFit="1" customWidth="1"/>
    <col min="6" max="6" width="5.28515625" style="1" bestFit="1" customWidth="1"/>
    <col min="7" max="7" width="7.42578125" style="1" bestFit="1" customWidth="1"/>
    <col min="8" max="8" width="5.7109375" style="1" bestFit="1" customWidth="1"/>
    <col min="9" max="9" width="4.5703125" style="1" bestFit="1" customWidth="1"/>
    <col min="10" max="10" width="5.7109375" style="1" customWidth="1"/>
    <col min="11" max="11" width="5.42578125" style="1" bestFit="1" customWidth="1"/>
    <col min="12" max="12" width="3.7109375" style="1" bestFit="1" customWidth="1"/>
    <col min="13" max="13" width="6.140625" style="1" bestFit="1" customWidth="1"/>
    <col min="14" max="15" width="6" style="1" bestFit="1" customWidth="1"/>
    <col min="16" max="18" width="4.7109375" style="1" bestFit="1" customWidth="1"/>
    <col min="19" max="19" width="6.28515625" customWidth="1"/>
    <col min="20" max="20" width="1.5703125" customWidth="1"/>
    <col min="21" max="32" width="9.28515625" customWidth="1"/>
  </cols>
  <sheetData>
    <row r="1" spans="2:30" ht="24" customHeight="1">
      <c r="B1" s="45" t="s">
        <v>50</v>
      </c>
      <c r="C1" s="45"/>
      <c r="D1" s="45"/>
      <c r="E1" s="45"/>
      <c r="F1" s="45"/>
      <c r="G1" s="45"/>
      <c r="H1" s="45"/>
      <c r="I1" s="45"/>
      <c r="J1" s="45"/>
      <c r="K1" s="48" t="s">
        <v>12</v>
      </c>
      <c r="L1" s="48"/>
      <c r="M1" s="5">
        <f>19520+84</f>
        <v>19604</v>
      </c>
      <c r="N1" s="5" t="s">
        <v>13</v>
      </c>
      <c r="O1" s="49"/>
      <c r="P1" s="49"/>
      <c r="Q1" s="56"/>
      <c r="R1" s="56"/>
    </row>
    <row r="2" spans="2:30" s="2" customFormat="1" ht="33.75">
      <c r="B2" s="17" t="s">
        <v>0</v>
      </c>
      <c r="C2" s="17" t="s">
        <v>25</v>
      </c>
      <c r="D2" s="17" t="s">
        <v>1</v>
      </c>
      <c r="E2" s="19" t="s">
        <v>24</v>
      </c>
      <c r="F2" s="17" t="s">
        <v>2</v>
      </c>
      <c r="G2" s="6" t="s">
        <v>7</v>
      </c>
      <c r="H2" s="6" t="s">
        <v>5</v>
      </c>
      <c r="I2" s="6" t="s">
        <v>23</v>
      </c>
      <c r="J2" s="6" t="s">
        <v>19</v>
      </c>
      <c r="K2" s="18" t="s">
        <v>20</v>
      </c>
      <c r="L2" s="46" t="s">
        <v>40</v>
      </c>
      <c r="M2" s="47"/>
      <c r="N2" s="18" t="s">
        <v>21</v>
      </c>
      <c r="O2" s="18" t="s">
        <v>22</v>
      </c>
      <c r="P2" s="6" t="s">
        <v>11</v>
      </c>
      <c r="Q2" s="6" t="s">
        <v>14</v>
      </c>
      <c r="R2" s="6" t="s">
        <v>10</v>
      </c>
      <c r="S2" s="3"/>
      <c r="T2"/>
      <c r="U2" s="24"/>
    </row>
    <row r="3" spans="2:30" s="2" customFormat="1" ht="24" customHeight="1">
      <c r="B3" s="8">
        <v>42554</v>
      </c>
      <c r="C3" s="22" t="s">
        <v>4</v>
      </c>
      <c r="D3" s="7" t="s">
        <v>4</v>
      </c>
      <c r="E3" s="21"/>
      <c r="F3" s="7">
        <v>28.65</v>
      </c>
      <c r="G3" s="9">
        <v>1.1190226876090752</v>
      </c>
      <c r="H3" s="10">
        <f>G3*F3</f>
        <v>32.06</v>
      </c>
      <c r="I3" s="11" t="s">
        <v>4</v>
      </c>
      <c r="J3" s="12" t="str">
        <f>IFERROR(D3/(F3/4.54609188),"-")</f>
        <v>-</v>
      </c>
      <c r="K3" s="13" t="s">
        <v>4</v>
      </c>
      <c r="L3" s="12" t="s">
        <v>4</v>
      </c>
      <c r="M3" s="12" t="s">
        <v>4</v>
      </c>
      <c r="N3" s="13" t="s">
        <v>4</v>
      </c>
      <c r="O3" s="13" t="s">
        <v>4</v>
      </c>
      <c r="P3" s="14">
        <v>12</v>
      </c>
      <c r="Q3" s="14">
        <v>17</v>
      </c>
      <c r="R3" s="13">
        <f>AVERAGE(Q3,P3)</f>
        <v>14.5</v>
      </c>
      <c r="S3" s="4"/>
      <c r="T3"/>
      <c r="AA3" s="23"/>
    </row>
    <row r="4" spans="2:30" s="2" customFormat="1" ht="24" customHeight="1">
      <c r="B4" s="8">
        <v>42567</v>
      </c>
      <c r="C4" s="22" t="s">
        <v>26</v>
      </c>
      <c r="D4" s="7">
        <v>382.4</v>
      </c>
      <c r="E4" s="21">
        <f>M1+D4</f>
        <v>19986.400000000001</v>
      </c>
      <c r="F4" s="7">
        <v>31.95</v>
      </c>
      <c r="G4" s="9">
        <v>1.1189358372456963</v>
      </c>
      <c r="H4" s="10">
        <f t="shared" ref="H4:H26" si="0">G4*F4</f>
        <v>35.75</v>
      </c>
      <c r="I4" s="11">
        <v>57.7</v>
      </c>
      <c r="J4" s="12">
        <f>IFERROR(D4/(F4/4.54609),"-")</f>
        <v>54.410792363067294</v>
      </c>
      <c r="K4" s="13" t="s">
        <v>4</v>
      </c>
      <c r="L4" s="12">
        <f t="shared" ref="L4:L26" si="1">IFERROR(I4-J4,"-")</f>
        <v>3.2892076369327086</v>
      </c>
      <c r="M4" s="15">
        <f t="shared" ref="M4:M26" si="2">IFERROR((I4-J4)/J4,"-")</f>
        <v>6.045138278789966E-2</v>
      </c>
      <c r="N4" s="13">
        <f>SUM($L$4:L4)/COUNT($L$4:L4)</f>
        <v>3.2892076369327086</v>
      </c>
      <c r="O4" s="13" t="s">
        <v>4</v>
      </c>
      <c r="P4" s="14">
        <v>12</v>
      </c>
      <c r="Q4" s="14">
        <v>22</v>
      </c>
      <c r="R4" s="13">
        <f t="shared" ref="R4:R14" si="3">AVERAGE(Q4,P4)</f>
        <v>17</v>
      </c>
      <c r="S4" s="4"/>
      <c r="T4"/>
      <c r="U4" s="91" t="s">
        <v>16</v>
      </c>
      <c r="V4" s="92"/>
      <c r="W4" s="94">
        <f>M1+U10</f>
        <v>28853.8</v>
      </c>
      <c r="X4" s="95"/>
      <c r="Y4" s="91" t="s">
        <v>17</v>
      </c>
      <c r="Z4" s="92"/>
      <c r="AA4" s="94">
        <f>36231-W4</f>
        <v>7377.2000000000007</v>
      </c>
      <c r="AB4" s="95"/>
      <c r="AC4" s="36" t="s">
        <v>41</v>
      </c>
      <c r="AD4" s="37"/>
    </row>
    <row r="5" spans="2:30" s="2" customFormat="1" ht="24" customHeight="1">
      <c r="B5" s="8">
        <v>42582</v>
      </c>
      <c r="C5" s="22" t="s">
        <v>26</v>
      </c>
      <c r="D5" s="7">
        <v>400.1</v>
      </c>
      <c r="E5" s="21">
        <f t="shared" ref="E5:E31" si="4">E4+D5</f>
        <v>20386.5</v>
      </c>
      <c r="F5" s="7">
        <v>32.21</v>
      </c>
      <c r="G5" s="9">
        <v>1.1189071716858119</v>
      </c>
      <c r="H5" s="10">
        <f t="shared" si="0"/>
        <v>36.04</v>
      </c>
      <c r="I5" s="11">
        <v>59.6</v>
      </c>
      <c r="J5" s="12">
        <f t="shared" ref="J5:J19" si="5">IFERROR(D5/(F5/4.54609),"-")</f>
        <v>56.469748804719039</v>
      </c>
      <c r="K5" s="13" t="s">
        <v>4</v>
      </c>
      <c r="L5" s="12">
        <f t="shared" si="1"/>
        <v>3.1302511952809624</v>
      </c>
      <c r="M5" s="15">
        <f t="shared" si="2"/>
        <v>5.5432355580433801E-2</v>
      </c>
      <c r="N5" s="13">
        <f>SUM($L$4:L5)/COUNT($L$4:L5)</f>
        <v>3.2097294161068355</v>
      </c>
      <c r="O5" s="13" t="s">
        <v>4</v>
      </c>
      <c r="P5" s="14">
        <v>13</v>
      </c>
      <c r="Q5" s="14">
        <v>29</v>
      </c>
      <c r="R5" s="13">
        <f t="shared" si="3"/>
        <v>21</v>
      </c>
      <c r="S5" s="4"/>
      <c r="T5"/>
      <c r="U5" s="91" t="s">
        <v>8</v>
      </c>
      <c r="V5" s="92"/>
      <c r="W5" s="91" t="s">
        <v>9</v>
      </c>
      <c r="X5" s="92"/>
      <c r="Y5" s="96" t="s">
        <v>51</v>
      </c>
      <c r="Z5" s="96"/>
      <c r="AA5" s="38" t="s">
        <v>52</v>
      </c>
      <c r="AB5" s="38"/>
      <c r="AC5" s="38" t="s">
        <v>42</v>
      </c>
      <c r="AD5" s="38"/>
    </row>
    <row r="6" spans="2:30" s="2" customFormat="1" ht="24" customHeight="1">
      <c r="B6" s="8">
        <v>42599</v>
      </c>
      <c r="C6" s="22" t="s">
        <v>27</v>
      </c>
      <c r="D6" s="11">
        <v>427</v>
      </c>
      <c r="E6" s="21">
        <f t="shared" si="4"/>
        <v>20813.5</v>
      </c>
      <c r="F6" s="7">
        <v>35.24</v>
      </c>
      <c r="G6" s="9">
        <v>1.0891032917139614</v>
      </c>
      <c r="H6" s="10">
        <f t="shared" si="0"/>
        <v>38.380000000000003</v>
      </c>
      <c r="I6" s="11">
        <v>60.3</v>
      </c>
      <c r="J6" s="12">
        <f t="shared" si="5"/>
        <v>55.084575198637914</v>
      </c>
      <c r="K6" s="13">
        <f>SUM(J4:J6)/3</f>
        <v>55.321705455474749</v>
      </c>
      <c r="L6" s="12">
        <f t="shared" si="1"/>
        <v>5.215424801362083</v>
      </c>
      <c r="M6" s="15">
        <f t="shared" si="2"/>
        <v>9.4680312638428868E-2</v>
      </c>
      <c r="N6" s="13">
        <f>SUM($L$4:L6)/COUNT($L$4:L6)</f>
        <v>3.8782945445252515</v>
      </c>
      <c r="O6" s="13">
        <f>SUM(N4:N6)/3</f>
        <v>3.4590771991882652</v>
      </c>
      <c r="P6" s="14">
        <v>11</v>
      </c>
      <c r="Q6" s="14">
        <v>30</v>
      </c>
      <c r="R6" s="13">
        <f t="shared" si="3"/>
        <v>20.5</v>
      </c>
      <c r="S6" s="4"/>
      <c r="T6"/>
      <c r="U6" s="75">
        <f>U10/(W10/4.54609)</f>
        <v>52.217739301369711</v>
      </c>
      <c r="V6" s="76"/>
      <c r="W6" s="75">
        <f>SUM($I$4:$I$56)/COUNT($J$4:$J$56)</f>
        <v>57.157142857142851</v>
      </c>
      <c r="X6" s="76"/>
      <c r="Y6" s="79">
        <f>SUM($L$4:$L$56)/COUNT($L$4:$L$56)</f>
        <v>4.0245041293073944</v>
      </c>
      <c r="Z6" s="80"/>
      <c r="AA6" s="85">
        <f>SUM($M$4:$M$56)/COUNT($M$4:$M$56)</f>
        <v>7.720059882102244E-2</v>
      </c>
      <c r="AB6" s="86"/>
      <c r="AC6" s="39">
        <v>43161</v>
      </c>
      <c r="AD6" s="40"/>
    </row>
    <row r="7" spans="2:30" s="2" customFormat="1" ht="24" customHeight="1">
      <c r="B7" s="8">
        <v>42607</v>
      </c>
      <c r="C7" s="22" t="s">
        <v>27</v>
      </c>
      <c r="D7" s="7">
        <v>134.80000000000001</v>
      </c>
      <c r="E7" s="21">
        <f t="shared" si="4"/>
        <v>20948.3</v>
      </c>
      <c r="F7" s="7">
        <v>10.25</v>
      </c>
      <c r="G7" s="9">
        <v>1.0985365853658537</v>
      </c>
      <c r="H7" s="10">
        <f t="shared" si="0"/>
        <v>11.260000000000002</v>
      </c>
      <c r="I7" s="11">
        <v>55.9</v>
      </c>
      <c r="J7" s="12">
        <f t="shared" si="5"/>
        <v>59.786627512195139</v>
      </c>
      <c r="K7" s="13">
        <f>SUM(J5:J7)/3</f>
        <v>57.113650505184033</v>
      </c>
      <c r="L7" s="12">
        <f t="shared" si="1"/>
        <v>-3.8866275121951404</v>
      </c>
      <c r="M7" s="15">
        <f t="shared" si="2"/>
        <v>-6.5008308277672205E-2</v>
      </c>
      <c r="N7" s="13">
        <f>SUM($L$4:L7)/COUNT($L$4:L7)</f>
        <v>1.9370640303451534</v>
      </c>
      <c r="O7" s="13">
        <f>SUM(N5:N7)/3</f>
        <v>3.0083626636590801</v>
      </c>
      <c r="P7" s="14">
        <v>15</v>
      </c>
      <c r="Q7" s="14">
        <v>30</v>
      </c>
      <c r="R7" s="13">
        <f t="shared" si="3"/>
        <v>22.5</v>
      </c>
      <c r="S7" s="4"/>
      <c r="T7"/>
      <c r="U7" s="77"/>
      <c r="V7" s="78"/>
      <c r="W7" s="77"/>
      <c r="X7" s="78"/>
      <c r="Y7" s="81"/>
      <c r="Z7" s="82"/>
      <c r="AA7" s="87"/>
      <c r="AB7" s="88"/>
      <c r="AC7" s="41"/>
      <c r="AD7" s="42"/>
    </row>
    <row r="8" spans="2:30" s="2" customFormat="1" ht="24" customHeight="1">
      <c r="B8" s="8">
        <v>42608</v>
      </c>
      <c r="C8" s="22" t="s">
        <v>27</v>
      </c>
      <c r="D8" s="7">
        <v>175.7</v>
      </c>
      <c r="E8" s="21">
        <f t="shared" si="4"/>
        <v>21124</v>
      </c>
      <c r="F8" s="7">
        <v>13.07</v>
      </c>
      <c r="G8" s="9">
        <v>1.0688599846977811</v>
      </c>
      <c r="H8" s="10">
        <f t="shared" si="0"/>
        <v>13.969999999999999</v>
      </c>
      <c r="I8" s="11">
        <v>61.6</v>
      </c>
      <c r="J8" s="12">
        <f t="shared" si="5"/>
        <v>61.113084391736798</v>
      </c>
      <c r="K8" s="13">
        <f t="shared" ref="K8" si="6">SUM(J6:J8)/3</f>
        <v>58.66142903418995</v>
      </c>
      <c r="L8" s="12">
        <f t="shared" si="1"/>
        <v>0.48691560826320313</v>
      </c>
      <c r="M8" s="15">
        <f t="shared" si="2"/>
        <v>7.9674526839794025E-3</v>
      </c>
      <c r="N8" s="13">
        <f>SUM($L$4:L8)/COUNT($L$4:L8)</f>
        <v>1.6470343459287633</v>
      </c>
      <c r="O8" s="13">
        <f t="shared" ref="O8:O15" si="7">SUM(N6:N8)/3</f>
        <v>2.4874643069330564</v>
      </c>
      <c r="P8" s="14">
        <v>17</v>
      </c>
      <c r="Q8" s="14">
        <v>20</v>
      </c>
      <c r="R8" s="13">
        <f t="shared" si="3"/>
        <v>18.5</v>
      </c>
      <c r="S8" s="4"/>
      <c r="T8"/>
      <c r="U8" s="77"/>
      <c r="V8" s="78"/>
      <c r="W8" s="77"/>
      <c r="X8" s="78"/>
      <c r="Y8" s="83"/>
      <c r="Z8" s="84"/>
      <c r="AA8" s="89"/>
      <c r="AB8" s="90"/>
      <c r="AC8" s="43"/>
      <c r="AD8" s="44"/>
    </row>
    <row r="9" spans="2:30" s="2" customFormat="1" ht="24" customHeight="1">
      <c r="B9" s="8">
        <v>42616</v>
      </c>
      <c r="C9" s="22" t="s">
        <v>28</v>
      </c>
      <c r="D9" s="7">
        <v>350.6</v>
      </c>
      <c r="E9" s="21">
        <f t="shared" si="4"/>
        <v>21474.6</v>
      </c>
      <c r="F9" s="7">
        <v>30.38</v>
      </c>
      <c r="G9" s="9">
        <v>1.099078341013825</v>
      </c>
      <c r="H9" s="10">
        <f t="shared" si="0"/>
        <v>33.39</v>
      </c>
      <c r="I9" s="11">
        <v>58.1</v>
      </c>
      <c r="J9" s="12">
        <f t="shared" si="5"/>
        <v>52.464093285055974</v>
      </c>
      <c r="K9" s="13">
        <f t="shared" ref="K9:K15" si="8">SUM(J7:J9)/3</f>
        <v>57.787935062995977</v>
      </c>
      <c r="L9" s="12">
        <f t="shared" si="1"/>
        <v>5.6359067149440278</v>
      </c>
      <c r="M9" s="15">
        <f t="shared" si="2"/>
        <v>0.1074240754399805</v>
      </c>
      <c r="N9" s="13">
        <f>SUM($L$4:L9)/COUNT($L$4:L9)</f>
        <v>2.3118464074313074</v>
      </c>
      <c r="O9" s="13">
        <f t="shared" si="7"/>
        <v>1.9653149279017414</v>
      </c>
      <c r="P9" s="14">
        <v>13</v>
      </c>
      <c r="Q9" s="14">
        <v>24</v>
      </c>
      <c r="R9" s="13">
        <f t="shared" si="3"/>
        <v>18.5</v>
      </c>
      <c r="S9" s="4"/>
      <c r="T9"/>
      <c r="U9" s="91" t="s">
        <v>18</v>
      </c>
      <c r="V9" s="92"/>
      <c r="W9" s="91" t="s">
        <v>6</v>
      </c>
      <c r="X9" s="92"/>
      <c r="Y9" s="91" t="s">
        <v>3</v>
      </c>
      <c r="Z9" s="92"/>
      <c r="AA9" s="93" t="s">
        <v>15</v>
      </c>
      <c r="AB9" s="93"/>
      <c r="AC9" s="25"/>
      <c r="AD9" s="25"/>
    </row>
    <row r="10" spans="2:30" s="2" customFormat="1" ht="24" customHeight="1">
      <c r="B10" s="8">
        <v>42634</v>
      </c>
      <c r="C10" s="22" t="s">
        <v>28</v>
      </c>
      <c r="D10" s="7">
        <v>408.9</v>
      </c>
      <c r="E10" s="21">
        <f t="shared" si="4"/>
        <v>21883.5</v>
      </c>
      <c r="F10" s="7">
        <v>33.43</v>
      </c>
      <c r="G10" s="9">
        <v>1.1088842357164224</v>
      </c>
      <c r="H10" s="10">
        <f t="shared" si="0"/>
        <v>37.07</v>
      </c>
      <c r="I10" s="11">
        <v>59.2</v>
      </c>
      <c r="J10" s="12">
        <f t="shared" si="5"/>
        <v>55.60562970385881</v>
      </c>
      <c r="K10" s="13">
        <f t="shared" si="8"/>
        <v>56.394269126883863</v>
      </c>
      <c r="L10" s="12">
        <f t="shared" si="1"/>
        <v>3.594370296141193</v>
      </c>
      <c r="M10" s="15">
        <f t="shared" si="2"/>
        <v>6.4640402694545115E-2</v>
      </c>
      <c r="N10" s="13">
        <f>SUM($L$4:L10)/COUNT($L$4:L10)</f>
        <v>2.4950641058184337</v>
      </c>
      <c r="O10" s="13">
        <f t="shared" si="7"/>
        <v>2.1513149530595013</v>
      </c>
      <c r="P10" s="14">
        <v>11</v>
      </c>
      <c r="Q10" s="14">
        <v>28</v>
      </c>
      <c r="R10" s="13">
        <f t="shared" si="3"/>
        <v>19.5</v>
      </c>
      <c r="S10" s="4"/>
      <c r="T10"/>
      <c r="U10" s="50">
        <f>SUM($D$4:$D$56)</f>
        <v>9249.7999999999993</v>
      </c>
      <c r="V10" s="51"/>
      <c r="W10" s="57">
        <f>SUM($F$4:$F$56)</f>
        <v>805.28999999999974</v>
      </c>
      <c r="X10" s="58"/>
      <c r="Y10" s="63">
        <f>SUM($H$4:$H$56)</f>
        <v>907.88280999999995</v>
      </c>
      <c r="Z10" s="64"/>
      <c r="AA10" s="69">
        <f>(U10/Y10)</f>
        <v>10.18831934927813</v>
      </c>
      <c r="AB10" s="70"/>
      <c r="AC10" s="34"/>
      <c r="AD10" s="35"/>
    </row>
    <row r="11" spans="2:30" s="2" customFormat="1" ht="24" customHeight="1">
      <c r="B11" s="8">
        <v>42649</v>
      </c>
      <c r="C11" s="22" t="s">
        <v>29</v>
      </c>
      <c r="D11" s="7">
        <v>338.1</v>
      </c>
      <c r="E11" s="21">
        <f t="shared" si="4"/>
        <v>22221.599999999999</v>
      </c>
      <c r="F11" s="7">
        <v>29.53</v>
      </c>
      <c r="G11" s="9">
        <v>1.1198780900778869</v>
      </c>
      <c r="H11" s="10">
        <f t="shared" si="0"/>
        <v>33.07</v>
      </c>
      <c r="I11" s="11">
        <v>57.3</v>
      </c>
      <c r="J11" s="12">
        <f t="shared" si="5"/>
        <v>52.04988245851677</v>
      </c>
      <c r="K11" s="13">
        <f t="shared" si="8"/>
        <v>53.373201815810518</v>
      </c>
      <c r="L11" s="12">
        <f t="shared" si="1"/>
        <v>5.2501175414832275</v>
      </c>
      <c r="M11" s="15">
        <f t="shared" si="2"/>
        <v>0.10086703933803344</v>
      </c>
      <c r="N11" s="13">
        <f>SUM($L$4:L11)/COUNT($L$4:L11)</f>
        <v>2.8394457852765331</v>
      </c>
      <c r="O11" s="13">
        <f t="shared" si="7"/>
        <v>2.5487854328420916</v>
      </c>
      <c r="P11" s="14">
        <v>8</v>
      </c>
      <c r="Q11" s="14">
        <v>23</v>
      </c>
      <c r="R11" s="13">
        <f t="shared" si="3"/>
        <v>15.5</v>
      </c>
      <c r="S11" s="4"/>
      <c r="T11"/>
      <c r="U11" s="52"/>
      <c r="V11" s="53"/>
      <c r="W11" s="59"/>
      <c r="X11" s="60"/>
      <c r="Y11" s="65"/>
      <c r="Z11" s="66"/>
      <c r="AA11" s="71"/>
      <c r="AB11" s="72"/>
      <c r="AC11" s="34"/>
      <c r="AD11" s="35"/>
    </row>
    <row r="12" spans="2:30" s="2" customFormat="1" ht="24" customHeight="1">
      <c r="B12" s="8">
        <v>42656</v>
      </c>
      <c r="C12" s="22" t="s">
        <v>29</v>
      </c>
      <c r="D12" s="7">
        <v>174.7</v>
      </c>
      <c r="E12" s="21">
        <f t="shared" si="4"/>
        <v>22396.3</v>
      </c>
      <c r="F12" s="7">
        <v>15.89</v>
      </c>
      <c r="G12" s="9">
        <v>1.0767778477029577</v>
      </c>
      <c r="H12" s="10">
        <f t="shared" si="0"/>
        <v>17.11</v>
      </c>
      <c r="I12" s="11">
        <v>55</v>
      </c>
      <c r="J12" s="12">
        <f t="shared" si="5"/>
        <v>49.981241220893644</v>
      </c>
      <c r="K12" s="13">
        <f t="shared" si="8"/>
        <v>52.545584461089739</v>
      </c>
      <c r="L12" s="12">
        <f t="shared" si="1"/>
        <v>5.0187587791063564</v>
      </c>
      <c r="M12" s="15">
        <f t="shared" si="2"/>
        <v>0.10041284803084013</v>
      </c>
      <c r="N12" s="13">
        <f>SUM($L$4:L12)/COUNT($L$4:L12)</f>
        <v>3.081591673479847</v>
      </c>
      <c r="O12" s="13">
        <f t="shared" si="7"/>
        <v>2.8053671881916049</v>
      </c>
      <c r="P12" s="14">
        <v>7</v>
      </c>
      <c r="Q12" s="14">
        <v>18</v>
      </c>
      <c r="R12" s="13">
        <f t="shared" si="3"/>
        <v>12.5</v>
      </c>
      <c r="S12" s="4"/>
      <c r="T12"/>
      <c r="U12" s="54"/>
      <c r="V12" s="55"/>
      <c r="W12" s="61"/>
      <c r="X12" s="62"/>
      <c r="Y12" s="67"/>
      <c r="Z12" s="68"/>
      <c r="AA12" s="73"/>
      <c r="AB12" s="74"/>
      <c r="AC12" s="25"/>
      <c r="AD12" s="25"/>
    </row>
    <row r="13" spans="2:30" s="2" customFormat="1" ht="24" customHeight="1">
      <c r="B13" s="8">
        <v>42660</v>
      </c>
      <c r="C13" s="22" t="s">
        <v>29</v>
      </c>
      <c r="D13" s="7">
        <v>340</v>
      </c>
      <c r="E13" s="21">
        <f t="shared" si="4"/>
        <v>22736.3</v>
      </c>
      <c r="F13" s="7">
        <v>29.13</v>
      </c>
      <c r="G13" s="9">
        <v>1.1071060762100928</v>
      </c>
      <c r="H13" s="10">
        <f t="shared" si="0"/>
        <v>32.25</v>
      </c>
      <c r="I13" s="11">
        <v>57.7</v>
      </c>
      <c r="J13" s="12">
        <f t="shared" si="5"/>
        <v>53.061125986955034</v>
      </c>
      <c r="K13" s="13">
        <f t="shared" si="8"/>
        <v>51.697416555455142</v>
      </c>
      <c r="L13" s="12">
        <f t="shared" si="1"/>
        <v>4.638874013044969</v>
      </c>
      <c r="M13" s="15">
        <f t="shared" si="2"/>
        <v>8.7425095618691287E-2</v>
      </c>
      <c r="N13" s="13">
        <f>SUM($L$4:L13)/COUNT($L$4:L13)</f>
        <v>3.2373199074363592</v>
      </c>
      <c r="O13" s="13">
        <f t="shared" si="7"/>
        <v>3.0527857887309131</v>
      </c>
      <c r="P13" s="14">
        <v>9</v>
      </c>
      <c r="Q13" s="14">
        <v>17</v>
      </c>
      <c r="R13" s="13">
        <f t="shared" si="3"/>
        <v>13</v>
      </c>
      <c r="S13" s="4"/>
      <c r="T13"/>
    </row>
    <row r="14" spans="2:30" s="2" customFormat="1" ht="24" customHeight="1">
      <c r="B14" s="8">
        <v>42672</v>
      </c>
      <c r="C14" s="22" t="s">
        <v>29</v>
      </c>
      <c r="D14" s="7">
        <v>333.2</v>
      </c>
      <c r="E14" s="21">
        <f t="shared" si="4"/>
        <v>23069.5</v>
      </c>
      <c r="F14" s="7">
        <v>28.45</v>
      </c>
      <c r="G14" s="9">
        <v>1.117</v>
      </c>
      <c r="H14" s="10">
        <f t="shared" si="0"/>
        <v>31.778649999999999</v>
      </c>
      <c r="I14" s="11">
        <v>57.8</v>
      </c>
      <c r="J14" s="12">
        <f t="shared" si="5"/>
        <v>53.242783409490336</v>
      </c>
      <c r="K14" s="13">
        <f t="shared" si="8"/>
        <v>52.095050205779671</v>
      </c>
      <c r="L14" s="12">
        <f t="shared" si="1"/>
        <v>4.5572165905096611</v>
      </c>
      <c r="M14" s="15">
        <f t="shared" si="2"/>
        <v>8.5593132039324477E-2</v>
      </c>
      <c r="N14" s="13">
        <f>SUM($L$4:L14)/COUNT($L$4:L14)</f>
        <v>3.3573105149884772</v>
      </c>
      <c r="O14" s="13">
        <f t="shared" si="7"/>
        <v>3.2254073653015607</v>
      </c>
      <c r="P14" s="14">
        <v>7</v>
      </c>
      <c r="Q14" s="14">
        <v>17</v>
      </c>
      <c r="R14" s="13">
        <f t="shared" si="3"/>
        <v>12</v>
      </c>
      <c r="S14" s="4"/>
      <c r="T14"/>
    </row>
    <row r="15" spans="2:30" s="2" customFormat="1" ht="24" customHeight="1">
      <c r="B15" s="8">
        <v>42686</v>
      </c>
      <c r="C15" s="22" t="s">
        <v>30</v>
      </c>
      <c r="D15" s="7">
        <v>347.8</v>
      </c>
      <c r="E15" s="21">
        <f t="shared" si="4"/>
        <v>23417.3</v>
      </c>
      <c r="F15" s="7">
        <v>31.02</v>
      </c>
      <c r="G15" s="9">
        <v>1.127</v>
      </c>
      <c r="H15" s="10">
        <f t="shared" si="0"/>
        <v>34.959539999999997</v>
      </c>
      <c r="I15" s="11">
        <v>55.8</v>
      </c>
      <c r="J15" s="12">
        <f t="shared" si="5"/>
        <v>50.971312121212129</v>
      </c>
      <c r="K15" s="13">
        <f t="shared" si="8"/>
        <v>52.425073839219159</v>
      </c>
      <c r="L15" s="12">
        <f t="shared" si="1"/>
        <v>4.8286878787878678</v>
      </c>
      <c r="M15" s="15">
        <f t="shared" si="2"/>
        <v>9.4733442751189639E-2</v>
      </c>
      <c r="N15" s="13">
        <f>SUM($L$4:L15)/COUNT($L$4:L15)</f>
        <v>3.4799252953050934</v>
      </c>
      <c r="O15" s="13">
        <f t="shared" si="7"/>
        <v>3.3581852392433102</v>
      </c>
      <c r="P15" s="14">
        <v>4</v>
      </c>
      <c r="Q15" s="14">
        <v>17</v>
      </c>
      <c r="R15" s="13">
        <f t="shared" ref="R15:R31" si="9">AVERAGE(Q15,P15)</f>
        <v>10.5</v>
      </c>
      <c r="S15" s="4"/>
      <c r="T15"/>
    </row>
    <row r="16" spans="2:30" s="2" customFormat="1" ht="24" customHeight="1">
      <c r="B16" s="8">
        <v>42700</v>
      </c>
      <c r="C16" s="22" t="s">
        <v>30</v>
      </c>
      <c r="D16" s="7">
        <v>326.89999999999998</v>
      </c>
      <c r="E16" s="21">
        <f t="shared" si="4"/>
        <v>23744.2</v>
      </c>
      <c r="F16" s="7">
        <v>29.71</v>
      </c>
      <c r="G16" s="9">
        <v>1.097</v>
      </c>
      <c r="H16" s="10">
        <f t="shared" si="0"/>
        <v>32.59187</v>
      </c>
      <c r="I16" s="11">
        <v>54.7</v>
      </c>
      <c r="J16" s="12">
        <f t="shared" si="5"/>
        <v>50.02076139347021</v>
      </c>
      <c r="K16" s="13">
        <f t="shared" ref="K16:K26" si="10">SUM(J14:J16)/3</f>
        <v>51.411618974724227</v>
      </c>
      <c r="L16" s="12">
        <f t="shared" si="1"/>
        <v>4.6792386065297933</v>
      </c>
      <c r="M16" s="15">
        <f t="shared" si="2"/>
        <v>9.3545929253700422E-2</v>
      </c>
      <c r="N16" s="13">
        <f>SUM($L$4:L16)/COUNT($L$4:L16)</f>
        <v>3.5721801653993008</v>
      </c>
      <c r="O16" s="13">
        <f t="shared" ref="O16:O26" si="11">SUM(N14:N16)/3</f>
        <v>3.4698053252309573</v>
      </c>
      <c r="P16" s="14">
        <v>2</v>
      </c>
      <c r="Q16" s="14">
        <v>14</v>
      </c>
      <c r="R16" s="13">
        <f t="shared" si="9"/>
        <v>8</v>
      </c>
      <c r="S16" s="4"/>
      <c r="T16"/>
    </row>
    <row r="17" spans="2:30" s="2" customFormat="1" ht="24" customHeight="1">
      <c r="B17" s="8">
        <v>42713</v>
      </c>
      <c r="C17" s="22" t="s">
        <v>31</v>
      </c>
      <c r="D17" s="7">
        <v>362.7</v>
      </c>
      <c r="E17" s="21">
        <f t="shared" si="4"/>
        <v>24106.9</v>
      </c>
      <c r="F17" s="7">
        <v>32.479999999999997</v>
      </c>
      <c r="G17" s="9">
        <v>1.117</v>
      </c>
      <c r="H17" s="10">
        <f t="shared" si="0"/>
        <v>36.280159999999995</v>
      </c>
      <c r="I17" s="11">
        <v>55.3</v>
      </c>
      <c r="J17" s="12">
        <f t="shared" si="5"/>
        <v>50.765604772167499</v>
      </c>
      <c r="K17" s="13">
        <f t="shared" si="10"/>
        <v>50.585892762283287</v>
      </c>
      <c r="L17" s="12">
        <f t="shared" si="1"/>
        <v>4.5343952278324977</v>
      </c>
      <c r="M17" s="15">
        <f t="shared" si="2"/>
        <v>8.9320224750252614E-2</v>
      </c>
      <c r="N17" s="13">
        <f>SUM($L$4:L17)/COUNT($L$4:L17)</f>
        <v>3.6409098127159578</v>
      </c>
      <c r="O17" s="13">
        <f t="shared" si="11"/>
        <v>3.5643384244734508</v>
      </c>
      <c r="P17" s="14">
        <v>1.5</v>
      </c>
      <c r="Q17" s="14">
        <v>15.6</v>
      </c>
      <c r="R17" s="13">
        <f t="shared" si="9"/>
        <v>8.5500000000000007</v>
      </c>
      <c r="S17" s="4"/>
      <c r="T17"/>
    </row>
    <row r="18" spans="2:30" s="2" customFormat="1" ht="24" customHeight="1">
      <c r="B18" s="8">
        <v>42716</v>
      </c>
      <c r="C18" s="22" t="s">
        <v>31</v>
      </c>
      <c r="D18" s="7">
        <v>313.7</v>
      </c>
      <c r="E18" s="21">
        <f t="shared" si="4"/>
        <v>24420.600000000002</v>
      </c>
      <c r="F18" s="7">
        <v>27.04</v>
      </c>
      <c r="G18" s="9">
        <v>1.117</v>
      </c>
      <c r="H18" s="10">
        <f t="shared" si="0"/>
        <v>30.203679999999999</v>
      </c>
      <c r="I18" s="11">
        <v>57.5</v>
      </c>
      <c r="J18" s="12">
        <f t="shared" si="5"/>
        <v>52.740696486686396</v>
      </c>
      <c r="K18" s="13">
        <f t="shared" si="10"/>
        <v>51.175687550774704</v>
      </c>
      <c r="L18" s="12">
        <f t="shared" si="1"/>
        <v>4.7593035133136041</v>
      </c>
      <c r="M18" s="15">
        <f t="shared" si="2"/>
        <v>9.0239678850563138E-2</v>
      </c>
      <c r="N18" s="13">
        <f>SUM($L$4:L18)/COUNT($L$4:L18)</f>
        <v>3.7154693927558009</v>
      </c>
      <c r="O18" s="13">
        <f t="shared" si="11"/>
        <v>3.6428531236236865</v>
      </c>
      <c r="P18" s="14">
        <v>6</v>
      </c>
      <c r="Q18" s="14">
        <v>11</v>
      </c>
      <c r="R18" s="13">
        <f t="shared" si="9"/>
        <v>8.5</v>
      </c>
      <c r="S18" s="4"/>
      <c r="T18"/>
    </row>
    <row r="19" spans="2:30" s="2" customFormat="1" ht="24" customHeight="1">
      <c r="B19" s="8">
        <v>42733</v>
      </c>
      <c r="C19" s="22" t="s">
        <v>31</v>
      </c>
      <c r="D19" s="7">
        <v>353.5</v>
      </c>
      <c r="E19" s="21">
        <f t="shared" si="4"/>
        <v>24774.100000000002</v>
      </c>
      <c r="F19" s="7">
        <v>32.700000000000003</v>
      </c>
      <c r="G19" s="9">
        <v>1.147</v>
      </c>
      <c r="H19" s="10">
        <f t="shared" si="0"/>
        <v>37.506900000000002</v>
      </c>
      <c r="I19" s="11">
        <v>53.9</v>
      </c>
      <c r="J19" s="12">
        <f t="shared" si="5"/>
        <v>49.145040214067279</v>
      </c>
      <c r="K19" s="13">
        <f t="shared" si="10"/>
        <v>50.88378049097372</v>
      </c>
      <c r="L19" s="12">
        <f t="shared" si="1"/>
        <v>4.7549597859327193</v>
      </c>
      <c r="M19" s="15">
        <f t="shared" si="2"/>
        <v>9.6753604539154686E-2</v>
      </c>
      <c r="N19" s="13">
        <f>SUM($L$4:L19)/COUNT($L$4:L19)</f>
        <v>3.7804375423293584</v>
      </c>
      <c r="O19" s="13">
        <f t="shared" si="11"/>
        <v>3.712272249267039</v>
      </c>
      <c r="P19" s="14">
        <v>0</v>
      </c>
      <c r="Q19" s="14">
        <v>13</v>
      </c>
      <c r="R19" s="13">
        <f t="shared" si="9"/>
        <v>6.5</v>
      </c>
      <c r="S19" s="4"/>
      <c r="T19"/>
    </row>
    <row r="20" spans="2:30" s="2" customFormat="1" ht="24" customHeight="1">
      <c r="B20" s="8">
        <v>42749</v>
      </c>
      <c r="C20" s="22" t="s">
        <v>32</v>
      </c>
      <c r="D20" s="7">
        <v>346</v>
      </c>
      <c r="E20" s="21">
        <f t="shared" si="4"/>
        <v>25120.100000000002</v>
      </c>
      <c r="F20" s="7">
        <v>31.48</v>
      </c>
      <c r="G20" s="9">
        <v>1.167</v>
      </c>
      <c r="H20" s="10">
        <f t="shared" si="0"/>
        <v>36.737160000000003</v>
      </c>
      <c r="I20" s="11">
        <v>55.2</v>
      </c>
      <c r="J20" s="12">
        <f t="shared" ref="J20:J26" si="12">IFERROR(D20/(F20/4.54609188),"-")</f>
        <v>49.966575301143578</v>
      </c>
      <c r="K20" s="13">
        <f t="shared" si="10"/>
        <v>50.617437333965746</v>
      </c>
      <c r="L20" s="12">
        <f t="shared" si="1"/>
        <v>5.2334246988564246</v>
      </c>
      <c r="M20" s="15">
        <f t="shared" si="2"/>
        <v>0.10473851104093275</v>
      </c>
      <c r="N20" s="13">
        <f>SUM($L$4:L20)/COUNT($L$4:L20)</f>
        <v>3.8659073750662447</v>
      </c>
      <c r="O20" s="13">
        <f t="shared" si="11"/>
        <v>3.7872714367171345</v>
      </c>
      <c r="P20" s="14">
        <v>0</v>
      </c>
      <c r="Q20" s="14">
        <v>11</v>
      </c>
      <c r="R20" s="13">
        <f t="shared" si="9"/>
        <v>5.5</v>
      </c>
      <c r="S20" s="4"/>
      <c r="T20"/>
    </row>
    <row r="21" spans="2:30" s="2" customFormat="1" ht="24" customHeight="1">
      <c r="B21" s="8">
        <v>42763</v>
      </c>
      <c r="C21" s="22" t="s">
        <v>32</v>
      </c>
      <c r="D21" s="7">
        <v>342.7</v>
      </c>
      <c r="E21" s="21">
        <f t="shared" si="4"/>
        <v>25462.800000000003</v>
      </c>
      <c r="F21" s="7">
        <v>30.33</v>
      </c>
      <c r="G21" s="9">
        <v>1.167</v>
      </c>
      <c r="H21" s="10">
        <f t="shared" si="0"/>
        <v>35.395110000000003</v>
      </c>
      <c r="I21" s="11">
        <v>55.9</v>
      </c>
      <c r="J21" s="12">
        <f t="shared" si="12"/>
        <v>51.36649150267062</v>
      </c>
      <c r="K21" s="13">
        <f t="shared" si="10"/>
        <v>50.159369005960492</v>
      </c>
      <c r="L21" s="12">
        <f t="shared" si="1"/>
        <v>4.5335084973293789</v>
      </c>
      <c r="M21" s="15">
        <f t="shared" si="2"/>
        <v>8.8258091310240164E-2</v>
      </c>
      <c r="N21" s="13">
        <f>SUM($L$4:L21)/COUNT($L$4:L21)</f>
        <v>3.9029963263030854</v>
      </c>
      <c r="O21" s="13">
        <f t="shared" si="11"/>
        <v>3.8497804145662293</v>
      </c>
      <c r="P21" s="14">
        <v>-1</v>
      </c>
      <c r="Q21" s="14">
        <v>10</v>
      </c>
      <c r="R21" s="13">
        <f t="shared" si="9"/>
        <v>4.5</v>
      </c>
      <c r="S21" s="4"/>
      <c r="T21"/>
      <c r="U21"/>
      <c r="V21"/>
      <c r="W21"/>
      <c r="X21"/>
      <c r="Y21"/>
      <c r="Z21"/>
      <c r="AA21"/>
      <c r="AB21"/>
      <c r="AC21"/>
      <c r="AD21"/>
    </row>
    <row r="22" spans="2:30" s="2" customFormat="1" ht="24" customHeight="1">
      <c r="B22" s="8">
        <v>42930</v>
      </c>
      <c r="C22" s="22" t="s">
        <v>33</v>
      </c>
      <c r="D22" s="7">
        <v>384</v>
      </c>
      <c r="E22" s="21">
        <f t="shared" si="4"/>
        <v>25846.800000000003</v>
      </c>
      <c r="F22" s="7">
        <v>34.42</v>
      </c>
      <c r="G22" s="9">
        <v>1.167</v>
      </c>
      <c r="H22" s="10">
        <f t="shared" si="0"/>
        <v>40.168140000000001</v>
      </c>
      <c r="I22" s="11">
        <v>55.1</v>
      </c>
      <c r="J22" s="12">
        <f t="shared" si="12"/>
        <v>50.71758518070888</v>
      </c>
      <c r="K22" s="13">
        <f t="shared" si="10"/>
        <v>50.683550661507695</v>
      </c>
      <c r="L22" s="12">
        <f t="shared" si="1"/>
        <v>4.382414819291121</v>
      </c>
      <c r="M22" s="15">
        <f t="shared" si="2"/>
        <v>8.6408191629715678E-2</v>
      </c>
      <c r="N22" s="13">
        <f>SUM($L$4:L22)/COUNT($L$4:L22)</f>
        <v>3.9282288785656134</v>
      </c>
      <c r="O22" s="13">
        <f t="shared" si="11"/>
        <v>3.899044193311648</v>
      </c>
      <c r="P22" s="14">
        <v>-1</v>
      </c>
      <c r="Q22" s="14">
        <v>13</v>
      </c>
      <c r="R22" s="13">
        <f t="shared" si="9"/>
        <v>6</v>
      </c>
      <c r="S22" s="4"/>
      <c r="T22"/>
      <c r="U22"/>
      <c r="V22"/>
      <c r="W22"/>
      <c r="X22"/>
      <c r="Y22"/>
      <c r="Z22"/>
      <c r="AA22"/>
      <c r="AB22"/>
      <c r="AC22"/>
      <c r="AD22"/>
    </row>
    <row r="23" spans="2:30" s="2" customFormat="1" ht="24" customHeight="1">
      <c r="B23" s="8">
        <v>42786</v>
      </c>
      <c r="C23" s="22" t="s">
        <v>33</v>
      </c>
      <c r="D23" s="7">
        <v>379.8</v>
      </c>
      <c r="E23" s="21">
        <f t="shared" si="4"/>
        <v>26226.600000000002</v>
      </c>
      <c r="F23" s="7">
        <v>33.299999999999997</v>
      </c>
      <c r="G23" s="9">
        <v>1.167</v>
      </c>
      <c r="H23" s="10">
        <f t="shared" si="0"/>
        <v>38.8611</v>
      </c>
      <c r="I23" s="11">
        <v>55.6</v>
      </c>
      <c r="J23" s="12">
        <f t="shared" si="12"/>
        <v>51.850020901621626</v>
      </c>
      <c r="K23" s="13">
        <f t="shared" si="10"/>
        <v>51.311365861667042</v>
      </c>
      <c r="L23" s="12">
        <f t="shared" si="1"/>
        <v>3.7499790983783754</v>
      </c>
      <c r="M23" s="15">
        <f t="shared" si="2"/>
        <v>7.2323579299870516E-2</v>
      </c>
      <c r="N23" s="13">
        <f>SUM($L$4:L23)/COUNT($L$4:L23)</f>
        <v>3.9193163895562515</v>
      </c>
      <c r="O23" s="13">
        <f t="shared" si="11"/>
        <v>3.9168471981416499</v>
      </c>
      <c r="P23" s="14">
        <v>3</v>
      </c>
      <c r="Q23" s="14">
        <v>14</v>
      </c>
      <c r="R23" s="13">
        <f t="shared" si="9"/>
        <v>8.5</v>
      </c>
      <c r="S23" s="4"/>
      <c r="T23"/>
      <c r="U23"/>
      <c r="V23"/>
      <c r="W23"/>
      <c r="X23"/>
      <c r="Y23"/>
      <c r="Z23"/>
      <c r="AA23"/>
      <c r="AB23"/>
      <c r="AC23"/>
      <c r="AD23"/>
    </row>
    <row r="24" spans="2:30" s="2" customFormat="1" ht="24" customHeight="1">
      <c r="B24" s="8">
        <v>42796</v>
      </c>
      <c r="C24" s="22" t="s">
        <v>34</v>
      </c>
      <c r="D24" s="7">
        <v>268.2</v>
      </c>
      <c r="E24" s="21">
        <f t="shared" si="4"/>
        <v>26494.800000000003</v>
      </c>
      <c r="F24" s="7">
        <v>34.17</v>
      </c>
      <c r="G24" s="9">
        <v>1.167</v>
      </c>
      <c r="H24" s="10">
        <f t="shared" si="0"/>
        <v>39.876390000000001</v>
      </c>
      <c r="I24" s="11">
        <v>56</v>
      </c>
      <c r="J24" s="12">
        <v>51.7</v>
      </c>
      <c r="K24" s="13">
        <f t="shared" si="10"/>
        <v>51.422535360776841</v>
      </c>
      <c r="L24" s="12">
        <f t="shared" si="1"/>
        <v>4.2999999999999972</v>
      </c>
      <c r="M24" s="15">
        <f t="shared" si="2"/>
        <v>8.3172147001934177E-2</v>
      </c>
      <c r="N24" s="13">
        <f>SUM($L$4:L24)/COUNT($L$4:L24)</f>
        <v>3.9374441805297629</v>
      </c>
      <c r="O24" s="13">
        <f t="shared" si="11"/>
        <v>3.9283298162172091</v>
      </c>
      <c r="P24" s="14">
        <v>1</v>
      </c>
      <c r="Q24" s="14">
        <v>14</v>
      </c>
      <c r="R24" s="13">
        <f t="shared" si="9"/>
        <v>7.5</v>
      </c>
      <c r="S24" s="4"/>
      <c r="T24"/>
      <c r="U24"/>
      <c r="V24"/>
      <c r="W24"/>
      <c r="X24"/>
      <c r="Y24"/>
      <c r="Z24"/>
      <c r="AA24"/>
      <c r="AB24"/>
      <c r="AC24"/>
      <c r="AD24"/>
    </row>
    <row r="25" spans="2:30" s="2" customFormat="1" ht="24" customHeight="1">
      <c r="B25" s="8">
        <v>42799</v>
      </c>
      <c r="C25" s="22" t="s">
        <v>36</v>
      </c>
      <c r="D25" s="7">
        <v>211.5</v>
      </c>
      <c r="E25" s="21">
        <f t="shared" si="4"/>
        <v>26706.300000000003</v>
      </c>
      <c r="F25" s="7">
        <v>18.91</v>
      </c>
      <c r="G25" s="9">
        <v>1.167</v>
      </c>
      <c r="H25" s="10">
        <f t="shared" si="0"/>
        <v>22.067970000000003</v>
      </c>
      <c r="I25" s="11">
        <v>54</v>
      </c>
      <c r="J25" s="12">
        <f t="shared" si="12"/>
        <v>50.846030281332624</v>
      </c>
      <c r="K25" s="13">
        <f t="shared" si="10"/>
        <v>51.465350394318079</v>
      </c>
      <c r="L25" s="12">
        <f t="shared" si="1"/>
        <v>3.1539697186673763</v>
      </c>
      <c r="M25" s="15">
        <f t="shared" si="2"/>
        <v>6.2029812380954154E-2</v>
      </c>
      <c r="N25" s="13">
        <f>SUM($L$4:L25)/COUNT($L$4:L25)</f>
        <v>3.9018317049905638</v>
      </c>
      <c r="O25" s="13">
        <f t="shared" si="11"/>
        <v>3.9195307583588597</v>
      </c>
      <c r="P25" s="14">
        <v>4</v>
      </c>
      <c r="Q25" s="14">
        <v>12</v>
      </c>
      <c r="R25" s="13">
        <f t="shared" si="9"/>
        <v>8</v>
      </c>
      <c r="S25" s="4"/>
      <c r="T25"/>
      <c r="U25"/>
      <c r="V25"/>
      <c r="W25"/>
      <c r="X25"/>
      <c r="Y25"/>
      <c r="Z25"/>
      <c r="AA25"/>
      <c r="AB25"/>
      <c r="AC25"/>
      <c r="AD25"/>
    </row>
    <row r="26" spans="2:30" s="2" customFormat="1" ht="24" customHeight="1">
      <c r="B26" s="8">
        <v>42847</v>
      </c>
      <c r="C26" s="22" t="s">
        <v>35</v>
      </c>
      <c r="D26" s="7">
        <v>362.5</v>
      </c>
      <c r="E26" s="21">
        <f t="shared" si="4"/>
        <v>27068.800000000003</v>
      </c>
      <c r="F26" s="7">
        <v>32.04</v>
      </c>
      <c r="G26" s="9">
        <v>1.147</v>
      </c>
      <c r="H26" s="10">
        <f t="shared" si="0"/>
        <v>36.749879999999997</v>
      </c>
      <c r="I26" s="11">
        <v>56.5</v>
      </c>
      <c r="J26" s="12">
        <f t="shared" si="12"/>
        <v>51.434404073033704</v>
      </c>
      <c r="K26" s="13">
        <f t="shared" si="10"/>
        <v>51.326811451455448</v>
      </c>
      <c r="L26" s="12">
        <f t="shared" si="1"/>
        <v>5.0655959269662958</v>
      </c>
      <c r="M26" s="15">
        <f t="shared" si="2"/>
        <v>9.8486528973359147E-2</v>
      </c>
      <c r="N26" s="13">
        <f>SUM($L$4:L26)/COUNT($L$4:L26)</f>
        <v>3.9524301494242913</v>
      </c>
      <c r="O26" s="13">
        <f t="shared" si="11"/>
        <v>3.9305686783148723</v>
      </c>
      <c r="P26" s="14">
        <v>5</v>
      </c>
      <c r="Q26" s="14">
        <v>22</v>
      </c>
      <c r="R26" s="13">
        <f t="shared" si="9"/>
        <v>13.5</v>
      </c>
      <c r="S26" s="4"/>
      <c r="T26"/>
      <c r="U26"/>
      <c r="V26"/>
      <c r="W26"/>
      <c r="X26"/>
      <c r="Y26"/>
      <c r="Z26"/>
      <c r="AA26"/>
      <c r="AB26"/>
      <c r="AC26"/>
      <c r="AD26"/>
    </row>
    <row r="27" spans="2:30" s="2" customFormat="1" ht="24" customHeight="1">
      <c r="B27" s="8">
        <v>42861</v>
      </c>
      <c r="C27" s="22" t="s">
        <v>37</v>
      </c>
      <c r="D27" s="7">
        <v>328.5</v>
      </c>
      <c r="E27" s="21">
        <f t="shared" si="4"/>
        <v>27397.300000000003</v>
      </c>
      <c r="F27" s="7">
        <v>28.56</v>
      </c>
      <c r="G27" s="9">
        <v>1.127</v>
      </c>
      <c r="H27" s="10">
        <f t="shared" ref="H27:H33" si="13">G27*F27</f>
        <v>32.18712</v>
      </c>
      <c r="I27" s="11">
        <v>56.9</v>
      </c>
      <c r="J27" s="12">
        <f t="shared" ref="J27:J33" si="14">IFERROR(D27/(F27/4.54609188),"-")</f>
        <v>52.289607233193273</v>
      </c>
      <c r="K27" s="13">
        <f t="shared" ref="K27:K33" si="15">SUM(J25:J27)/3</f>
        <v>51.523347195853198</v>
      </c>
      <c r="L27" s="12">
        <f t="shared" ref="L27:L33" si="16">IFERROR(I27-J27,"-")</f>
        <v>4.6103927668067257</v>
      </c>
      <c r="M27" s="15">
        <f t="shared" ref="M27:M33" si="17">IFERROR((I27-J27)/J27,"-")</f>
        <v>8.8170346092790369E-2</v>
      </c>
      <c r="N27" s="13">
        <f>SUM($L$4:L27)/COUNT($L$4:L27)</f>
        <v>3.9798452584818929</v>
      </c>
      <c r="O27" s="13">
        <f t="shared" ref="O27:O33" si="18">SUM(N25:N27)/3</f>
        <v>3.9447023709655826</v>
      </c>
      <c r="P27" s="14">
        <v>3</v>
      </c>
      <c r="Q27" s="14">
        <v>23</v>
      </c>
      <c r="R27" s="13">
        <f t="shared" si="9"/>
        <v>13</v>
      </c>
      <c r="S27" s="4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2:30" s="2" customFormat="1" ht="24" customHeight="1">
      <c r="B28" s="8">
        <v>42876</v>
      </c>
      <c r="C28" s="22" t="s">
        <v>37</v>
      </c>
      <c r="D28" s="7">
        <v>361.3</v>
      </c>
      <c r="E28" s="21">
        <f t="shared" si="4"/>
        <v>27758.600000000002</v>
      </c>
      <c r="F28" s="7">
        <v>29.78</v>
      </c>
      <c r="G28" s="9">
        <v>1.127</v>
      </c>
      <c r="H28" s="10">
        <f t="shared" si="13"/>
        <v>33.562060000000002</v>
      </c>
      <c r="I28" s="11">
        <v>60</v>
      </c>
      <c r="J28" s="12">
        <f t="shared" si="14"/>
        <v>55.154566697246466</v>
      </c>
      <c r="K28" s="13">
        <f t="shared" si="15"/>
        <v>52.959526001157805</v>
      </c>
      <c r="L28" s="12">
        <f t="shared" si="16"/>
        <v>4.8454333027535341</v>
      </c>
      <c r="M28" s="15">
        <f t="shared" si="17"/>
        <v>8.7851896822089215E-2</v>
      </c>
      <c r="N28" s="13">
        <f>SUM($L$4:L28)/COUNT($L$4:L28)</f>
        <v>4.0144687802527583</v>
      </c>
      <c r="O28" s="13">
        <f t="shared" si="18"/>
        <v>3.982248062719647</v>
      </c>
      <c r="P28" s="14">
        <v>8</v>
      </c>
      <c r="Q28" s="14">
        <v>25</v>
      </c>
      <c r="R28" s="13">
        <f t="shared" si="9"/>
        <v>16.5</v>
      </c>
      <c r="S28" s="4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2:30" s="2" customFormat="1" ht="24" customHeight="1">
      <c r="B29" s="8">
        <v>42883</v>
      </c>
      <c r="C29" s="22" t="s">
        <v>37</v>
      </c>
      <c r="D29" s="7">
        <v>383.8</v>
      </c>
      <c r="E29" s="21">
        <f t="shared" si="4"/>
        <v>28142.400000000001</v>
      </c>
      <c r="F29" s="7">
        <v>31.46</v>
      </c>
      <c r="G29" s="9">
        <v>1.129</v>
      </c>
      <c r="H29" s="10">
        <f t="shared" si="13"/>
        <v>35.518340000000002</v>
      </c>
      <c r="I29" s="11">
        <v>58.8</v>
      </c>
      <c r="J29" s="12">
        <f t="shared" si="14"/>
        <v>55.460586889510488</v>
      </c>
      <c r="K29" s="13">
        <f t="shared" si="15"/>
        <v>54.301586939983416</v>
      </c>
      <c r="L29" s="12">
        <f t="shared" si="16"/>
        <v>3.3394131104895095</v>
      </c>
      <c r="M29" s="15">
        <f t="shared" si="17"/>
        <v>6.0212365172809014E-2</v>
      </c>
      <c r="N29" s="13">
        <f>SUM($L$4:L29)/COUNT($L$4:L29)</f>
        <v>3.98850510064648</v>
      </c>
      <c r="O29" s="13">
        <f t="shared" si="18"/>
        <v>3.9942730464603771</v>
      </c>
      <c r="P29" s="14">
        <v>13</v>
      </c>
      <c r="Q29" s="14">
        <v>28</v>
      </c>
      <c r="R29" s="13">
        <f t="shared" si="9"/>
        <v>20.5</v>
      </c>
      <c r="S29" s="4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2:30" s="2" customFormat="1" ht="24" customHeight="1">
      <c r="B30" s="8">
        <v>42889</v>
      </c>
      <c r="C30" s="22" t="s">
        <v>49</v>
      </c>
      <c r="D30" s="7">
        <v>275.89999999999998</v>
      </c>
      <c r="E30" s="21">
        <f t="shared" si="4"/>
        <v>28418.300000000003</v>
      </c>
      <c r="F30" s="7">
        <v>23.75</v>
      </c>
      <c r="G30" s="9">
        <v>1.127</v>
      </c>
      <c r="H30" s="10">
        <f t="shared" si="13"/>
        <v>26.766249999999999</v>
      </c>
      <c r="I30" s="11">
        <v>58.6</v>
      </c>
      <c r="J30" s="12">
        <f t="shared" si="14"/>
        <v>52.811231565978943</v>
      </c>
      <c r="K30" s="13">
        <f t="shared" si="15"/>
        <v>54.475461717578632</v>
      </c>
      <c r="L30" s="12">
        <f t="shared" si="16"/>
        <v>5.7887684340210583</v>
      </c>
      <c r="M30" s="15">
        <f t="shared" si="17"/>
        <v>0.1096124491395158</v>
      </c>
      <c r="N30" s="13">
        <f>SUM($L$4:L30)/COUNT($L$4:L30)</f>
        <v>4.0551815204010939</v>
      </c>
      <c r="O30" s="13">
        <f t="shared" si="18"/>
        <v>4.0193851337667779</v>
      </c>
      <c r="P30" s="14">
        <v>11</v>
      </c>
      <c r="Q30" s="14">
        <v>26</v>
      </c>
      <c r="R30" s="13">
        <f t="shared" si="9"/>
        <v>18.5</v>
      </c>
      <c r="S30" s="4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2:30" s="2" customFormat="1" ht="24" customHeight="1">
      <c r="B31" s="8">
        <v>42916</v>
      </c>
      <c r="C31" s="22" t="s">
        <v>49</v>
      </c>
      <c r="D31" s="7">
        <v>435.5</v>
      </c>
      <c r="E31" s="21">
        <f t="shared" si="4"/>
        <v>28853.800000000003</v>
      </c>
      <c r="F31" s="7">
        <v>34.61</v>
      </c>
      <c r="G31" s="9">
        <v>1.109</v>
      </c>
      <c r="H31" s="10">
        <f t="shared" si="13"/>
        <v>38.382489999999997</v>
      </c>
      <c r="I31" s="11">
        <v>60.4</v>
      </c>
      <c r="J31" s="12">
        <f t="shared" si="14"/>
        <v>57.203785430222474</v>
      </c>
      <c r="K31" s="13">
        <f t="shared" si="15"/>
        <v>55.158534628570635</v>
      </c>
      <c r="L31" s="12">
        <f t="shared" si="16"/>
        <v>3.1962145697775242</v>
      </c>
      <c r="M31" s="15">
        <f t="shared" si="17"/>
        <v>5.587417940507252E-2</v>
      </c>
      <c r="N31" s="13">
        <f>SUM($L$4:L31)/COUNT($L$4:L31)</f>
        <v>4.0245041293073944</v>
      </c>
      <c r="O31" s="13">
        <f t="shared" si="18"/>
        <v>4.0227302501183226</v>
      </c>
      <c r="P31" s="14">
        <v>13</v>
      </c>
      <c r="Q31" s="14">
        <v>30</v>
      </c>
      <c r="R31" s="13">
        <f t="shared" si="9"/>
        <v>21.5</v>
      </c>
      <c r="S31" s="4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2:30" s="2" customFormat="1" ht="24" customHeight="1">
      <c r="B32" s="16">
        <v>42932</v>
      </c>
      <c r="C32" s="22"/>
      <c r="D32" s="7"/>
      <c r="E32" s="21"/>
      <c r="F32" s="7"/>
      <c r="G32" s="9"/>
      <c r="H32" s="10">
        <f t="shared" si="13"/>
        <v>0</v>
      </c>
      <c r="I32" s="11" t="s">
        <v>4</v>
      </c>
      <c r="J32" s="12" t="str">
        <f t="shared" si="14"/>
        <v>-</v>
      </c>
      <c r="K32" s="13">
        <f t="shared" si="15"/>
        <v>36.671672332067139</v>
      </c>
      <c r="L32" s="12" t="str">
        <f t="shared" si="16"/>
        <v>-</v>
      </c>
      <c r="M32" s="15" t="str">
        <f t="shared" si="17"/>
        <v>-</v>
      </c>
      <c r="N32" s="13">
        <f>SUM($L$4:L32)/COUNT($L$4:L32)</f>
        <v>4.0245041293073944</v>
      </c>
      <c r="O32" s="13">
        <f t="shared" si="18"/>
        <v>4.0347299263386276</v>
      </c>
      <c r="P32" s="14"/>
      <c r="Q32" s="14"/>
      <c r="R32" s="13"/>
      <c r="S32" s="4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2:30" s="2" customFormat="1" ht="24" customHeight="1">
      <c r="B33" s="16">
        <v>42946</v>
      </c>
      <c r="C33" s="22"/>
      <c r="D33" s="7"/>
      <c r="E33" s="21"/>
      <c r="F33" s="7"/>
      <c r="G33" s="9"/>
      <c r="H33" s="10">
        <f t="shared" si="13"/>
        <v>0</v>
      </c>
      <c r="I33" s="11" t="s">
        <v>4</v>
      </c>
      <c r="J33" s="12" t="str">
        <f t="shared" si="14"/>
        <v>-</v>
      </c>
      <c r="K33" s="13">
        <f t="shared" si="15"/>
        <v>19.067928476740825</v>
      </c>
      <c r="L33" s="12" t="str">
        <f t="shared" si="16"/>
        <v>-</v>
      </c>
      <c r="M33" s="15" t="str">
        <f t="shared" si="17"/>
        <v>-</v>
      </c>
      <c r="N33" s="13">
        <f>SUM($L$4:L33)/COUNT($L$4:L33)</f>
        <v>4.0245041293073944</v>
      </c>
      <c r="O33" s="13">
        <f t="shared" si="18"/>
        <v>4.0245041293073944</v>
      </c>
      <c r="P33" s="14"/>
      <c r="Q33" s="14"/>
      <c r="R33" s="13"/>
      <c r="S33" s="4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2:30" s="2" customFormat="1" ht="24" customHeight="1">
      <c r="B34" s="16">
        <v>42960</v>
      </c>
      <c r="C34" s="22"/>
      <c r="D34" s="7"/>
      <c r="E34" s="21"/>
      <c r="F34" s="7"/>
      <c r="G34" s="9"/>
      <c r="H34" s="10">
        <f t="shared" ref="H34:H56" si="19">G34*F34</f>
        <v>0</v>
      </c>
      <c r="I34" s="11" t="s">
        <v>4</v>
      </c>
      <c r="J34" s="12" t="str">
        <f t="shared" ref="J34:J56" si="20">IFERROR(D34/(F34/4.54609188),"-")</f>
        <v>-</v>
      </c>
      <c r="K34" s="13">
        <f t="shared" ref="K34:K56" si="21">SUM(J32:J34)/3</f>
        <v>0</v>
      </c>
      <c r="L34" s="12" t="str">
        <f t="shared" ref="L34:L56" si="22">IFERROR(I34-J34,"-")</f>
        <v>-</v>
      </c>
      <c r="M34" s="15" t="str">
        <f t="shared" ref="M34:M56" si="23">IFERROR((I34-J34)/J34,"-")</f>
        <v>-</v>
      </c>
      <c r="N34" s="13">
        <f>SUM($L$4:L34)/COUNT($L$4:L34)</f>
        <v>4.0245041293073944</v>
      </c>
      <c r="O34" s="13">
        <f t="shared" ref="O34:O56" si="24">SUM(N32:N34)/3</f>
        <v>4.0245041293073944</v>
      </c>
      <c r="P34" s="14"/>
      <c r="Q34" s="14"/>
      <c r="R34" s="13"/>
      <c r="S34" s="4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2:30" ht="45">
      <c r="B35" s="16">
        <v>42974</v>
      </c>
      <c r="C35" s="22"/>
      <c r="D35" s="7"/>
      <c r="E35" s="21"/>
      <c r="F35" s="7"/>
      <c r="G35" s="9"/>
      <c r="H35" s="10">
        <f t="shared" si="19"/>
        <v>0</v>
      </c>
      <c r="I35" s="11" t="s">
        <v>4</v>
      </c>
      <c r="J35" s="12" t="str">
        <f t="shared" si="20"/>
        <v>-</v>
      </c>
      <c r="K35" s="13">
        <f t="shared" si="21"/>
        <v>0</v>
      </c>
      <c r="L35" s="12" t="str">
        <f t="shared" si="22"/>
        <v>-</v>
      </c>
      <c r="M35" s="15" t="str">
        <f t="shared" si="23"/>
        <v>-</v>
      </c>
      <c r="N35" s="13">
        <f>SUM($L$4:L35)/COUNT($L$4:L35)</f>
        <v>4.0245041293073944</v>
      </c>
      <c r="O35" s="13">
        <f t="shared" si="24"/>
        <v>4.0245041293073944</v>
      </c>
      <c r="P35" s="14"/>
      <c r="Q35" s="14"/>
      <c r="R35" s="13"/>
      <c r="U35" s="27" t="s">
        <v>25</v>
      </c>
      <c r="V35" s="27" t="s">
        <v>43</v>
      </c>
      <c r="W35" s="27" t="s">
        <v>45</v>
      </c>
      <c r="X35" s="29" t="s">
        <v>44</v>
      </c>
      <c r="Y35" s="29" t="s">
        <v>46</v>
      </c>
      <c r="Z35" s="29" t="s">
        <v>47</v>
      </c>
    </row>
    <row r="36" spans="2:30" ht="24" customHeight="1">
      <c r="B36" s="16">
        <v>42988</v>
      </c>
      <c r="C36" s="22"/>
      <c r="D36" s="7"/>
      <c r="E36" s="21"/>
      <c r="F36" s="7"/>
      <c r="G36" s="9"/>
      <c r="H36" s="10">
        <f t="shared" si="19"/>
        <v>0</v>
      </c>
      <c r="I36" s="11" t="s">
        <v>4</v>
      </c>
      <c r="J36" s="12" t="str">
        <f t="shared" si="20"/>
        <v>-</v>
      </c>
      <c r="K36" s="13">
        <f t="shared" si="21"/>
        <v>0</v>
      </c>
      <c r="L36" s="12" t="str">
        <f t="shared" si="22"/>
        <v>-</v>
      </c>
      <c r="M36" s="15" t="str">
        <f t="shared" si="23"/>
        <v>-</v>
      </c>
      <c r="N36" s="13">
        <f>SUM($L$4:L36)/COUNT($L$4:L36)</f>
        <v>4.0245041293073944</v>
      </c>
      <c r="O36" s="13">
        <f t="shared" si="24"/>
        <v>4.0245041293073944</v>
      </c>
      <c r="P36" s="14"/>
      <c r="Q36" s="14"/>
      <c r="R36" s="13"/>
      <c r="U36" s="31" t="s">
        <v>26</v>
      </c>
      <c r="V36" s="28">
        <f>SUMIF(C:C,U36,J:J)</f>
        <v>110.88054116778633</v>
      </c>
      <c r="W36" s="28">
        <f>COUNTIF(C:C,U36)</f>
        <v>2</v>
      </c>
      <c r="X36" s="30">
        <f t="shared" ref="X36:X46" si="25">V36/W36</f>
        <v>55.440270583893167</v>
      </c>
      <c r="Y36" s="28">
        <f>SUMIF(C:C,U36,R:R)</f>
        <v>38</v>
      </c>
      <c r="Z36" s="28">
        <f t="shared" ref="Z36:Z46" si="26">Y36/W36</f>
        <v>19</v>
      </c>
    </row>
    <row r="37" spans="2:30" ht="24" customHeight="1">
      <c r="B37" s="16">
        <v>43002</v>
      </c>
      <c r="C37" s="22"/>
      <c r="D37" s="7"/>
      <c r="E37" s="21"/>
      <c r="F37" s="7"/>
      <c r="G37" s="9"/>
      <c r="H37" s="10">
        <f t="shared" si="19"/>
        <v>0</v>
      </c>
      <c r="I37" s="11" t="s">
        <v>4</v>
      </c>
      <c r="J37" s="12" t="str">
        <f t="shared" si="20"/>
        <v>-</v>
      </c>
      <c r="K37" s="13">
        <f t="shared" si="21"/>
        <v>0</v>
      </c>
      <c r="L37" s="12" t="str">
        <f t="shared" si="22"/>
        <v>-</v>
      </c>
      <c r="M37" s="15" t="str">
        <f t="shared" si="23"/>
        <v>-</v>
      </c>
      <c r="N37" s="13">
        <f>SUM($L$4:L37)/COUNT($L$4:L37)</f>
        <v>4.0245041293073944</v>
      </c>
      <c r="O37" s="13">
        <f t="shared" si="24"/>
        <v>4.0245041293073944</v>
      </c>
      <c r="P37" s="14"/>
      <c r="Q37" s="14"/>
      <c r="R37" s="13"/>
      <c r="U37" s="31" t="s">
        <v>27</v>
      </c>
      <c r="V37" s="28">
        <f>SUMIF(C:C,U37,J:J)</f>
        <v>175.98428710256985</v>
      </c>
      <c r="W37" s="28">
        <f>COUNTIF(C:C,U37)</f>
        <v>3</v>
      </c>
      <c r="X37" s="30">
        <f t="shared" si="25"/>
        <v>58.66142903418995</v>
      </c>
      <c r="Y37" s="28">
        <f>SUMIF(C:C,U37,R:R)</f>
        <v>61.5</v>
      </c>
      <c r="Z37" s="28">
        <f t="shared" si="26"/>
        <v>20.5</v>
      </c>
    </row>
    <row r="38" spans="2:30" ht="24" customHeight="1">
      <c r="B38" s="16">
        <v>43016</v>
      </c>
      <c r="C38" s="22"/>
      <c r="D38" s="7"/>
      <c r="E38" s="21"/>
      <c r="F38" s="7"/>
      <c r="G38" s="9"/>
      <c r="H38" s="10">
        <f t="shared" si="19"/>
        <v>0</v>
      </c>
      <c r="I38" s="11" t="s">
        <v>4</v>
      </c>
      <c r="J38" s="12" t="str">
        <f t="shared" si="20"/>
        <v>-</v>
      </c>
      <c r="K38" s="13">
        <f t="shared" si="21"/>
        <v>0</v>
      </c>
      <c r="L38" s="12" t="str">
        <f t="shared" si="22"/>
        <v>-</v>
      </c>
      <c r="M38" s="15" t="str">
        <f t="shared" si="23"/>
        <v>-</v>
      </c>
      <c r="N38" s="13">
        <f>SUM($L$4:L38)/COUNT($L$4:L38)</f>
        <v>4.0245041293073944</v>
      </c>
      <c r="O38" s="13">
        <f t="shared" si="24"/>
        <v>4.0245041293073944</v>
      </c>
      <c r="P38" s="14"/>
      <c r="Q38" s="14"/>
      <c r="R38" s="13"/>
      <c r="U38" s="31" t="s">
        <v>28</v>
      </c>
      <c r="V38" s="28">
        <f>SUMIF(C:C,U38,J:J)</f>
        <v>108.06972298891478</v>
      </c>
      <c r="W38" s="28">
        <f>COUNTIF(C:C,U38)</f>
        <v>2</v>
      </c>
      <c r="X38" s="30">
        <f t="shared" si="25"/>
        <v>54.034861494457388</v>
      </c>
      <c r="Y38" s="28">
        <f>SUMIF(C:C,U38,R:R)</f>
        <v>38</v>
      </c>
      <c r="Z38" s="28">
        <f t="shared" si="26"/>
        <v>19</v>
      </c>
    </row>
    <row r="39" spans="2:30" ht="24" customHeight="1">
      <c r="B39" s="16">
        <v>43030</v>
      </c>
      <c r="C39" s="22"/>
      <c r="D39" s="7"/>
      <c r="E39" s="21"/>
      <c r="F39" s="7"/>
      <c r="G39" s="9"/>
      <c r="H39" s="10">
        <f t="shared" si="19"/>
        <v>0</v>
      </c>
      <c r="I39" s="11" t="s">
        <v>4</v>
      </c>
      <c r="J39" s="12" t="str">
        <f t="shared" si="20"/>
        <v>-</v>
      </c>
      <c r="K39" s="13">
        <f t="shared" si="21"/>
        <v>0</v>
      </c>
      <c r="L39" s="12" t="str">
        <f t="shared" si="22"/>
        <v>-</v>
      </c>
      <c r="M39" s="15" t="str">
        <f t="shared" si="23"/>
        <v>-</v>
      </c>
      <c r="N39" s="13">
        <f>SUM($L$4:L39)/COUNT($L$4:L39)</f>
        <v>4.0245041293073944</v>
      </c>
      <c r="O39" s="13">
        <f t="shared" si="24"/>
        <v>4.0245041293073944</v>
      </c>
      <c r="P39" s="14"/>
      <c r="Q39" s="14"/>
      <c r="R39" s="13"/>
      <c r="U39" s="31" t="s">
        <v>29</v>
      </c>
      <c r="V39" s="28">
        <f>SUMIF(C:C,U39,J:J)</f>
        <v>208.33503307585576</v>
      </c>
      <c r="W39" s="28">
        <f>COUNTIF(C:C,U39)</f>
        <v>4</v>
      </c>
      <c r="X39" s="30">
        <f t="shared" si="25"/>
        <v>52.08375826896394</v>
      </c>
      <c r="Y39" s="28">
        <f>SUMIF(C:C,U39,R:R)</f>
        <v>53</v>
      </c>
      <c r="Z39" s="28">
        <f t="shared" si="26"/>
        <v>13.25</v>
      </c>
    </row>
    <row r="40" spans="2:30" ht="24" customHeight="1">
      <c r="B40" s="16">
        <v>43044</v>
      </c>
      <c r="C40" s="22"/>
      <c r="D40" s="7"/>
      <c r="E40" s="21"/>
      <c r="F40" s="7"/>
      <c r="G40" s="9"/>
      <c r="H40" s="10">
        <f t="shared" si="19"/>
        <v>0</v>
      </c>
      <c r="I40" s="11" t="s">
        <v>4</v>
      </c>
      <c r="J40" s="12" t="str">
        <f t="shared" si="20"/>
        <v>-</v>
      </c>
      <c r="K40" s="13">
        <f t="shared" si="21"/>
        <v>0</v>
      </c>
      <c r="L40" s="12" t="str">
        <f t="shared" si="22"/>
        <v>-</v>
      </c>
      <c r="M40" s="15" t="str">
        <f t="shared" si="23"/>
        <v>-</v>
      </c>
      <c r="N40" s="13">
        <f>SUM($L$4:L40)/COUNT($L$4:L40)</f>
        <v>4.0245041293073944</v>
      </c>
      <c r="O40" s="13">
        <f t="shared" si="24"/>
        <v>4.0245041293073944</v>
      </c>
      <c r="P40" s="14"/>
      <c r="Q40" s="14"/>
      <c r="R40" s="13"/>
      <c r="U40" s="31" t="s">
        <v>30</v>
      </c>
      <c r="V40" s="28">
        <f>SUMIF(C:C,U40,J:J)</f>
        <v>100.99207351468235</v>
      </c>
      <c r="W40" s="28">
        <f>COUNTIF(C:C,U40)</f>
        <v>2</v>
      </c>
      <c r="X40" s="30">
        <f t="shared" si="25"/>
        <v>50.496036757341173</v>
      </c>
      <c r="Y40" s="28">
        <f>SUMIF(C:C,U40,R:R)</f>
        <v>18.5</v>
      </c>
      <c r="Z40" s="28">
        <f t="shared" si="26"/>
        <v>9.25</v>
      </c>
    </row>
    <row r="41" spans="2:30" ht="24" customHeight="1">
      <c r="B41" s="16">
        <v>43058</v>
      </c>
      <c r="C41" s="22"/>
      <c r="D41" s="7"/>
      <c r="E41" s="21"/>
      <c r="F41" s="7"/>
      <c r="G41" s="9"/>
      <c r="H41" s="10">
        <f t="shared" si="19"/>
        <v>0</v>
      </c>
      <c r="I41" s="11" t="s">
        <v>4</v>
      </c>
      <c r="J41" s="12" t="str">
        <f t="shared" si="20"/>
        <v>-</v>
      </c>
      <c r="K41" s="13">
        <f t="shared" si="21"/>
        <v>0</v>
      </c>
      <c r="L41" s="12" t="str">
        <f t="shared" si="22"/>
        <v>-</v>
      </c>
      <c r="M41" s="15" t="str">
        <f t="shared" si="23"/>
        <v>-</v>
      </c>
      <c r="N41" s="13">
        <f>SUM($L$4:L41)/COUNT($L$4:L41)</f>
        <v>4.0245041293073944</v>
      </c>
      <c r="O41" s="13">
        <f t="shared" si="24"/>
        <v>4.0245041293073944</v>
      </c>
      <c r="P41" s="14"/>
      <c r="Q41" s="14"/>
      <c r="R41" s="13"/>
      <c r="U41" s="31" t="s">
        <v>31</v>
      </c>
      <c r="V41" s="28">
        <f>SUMIF(C:C,U41,J:J)</f>
        <v>152.65134147292116</v>
      </c>
      <c r="W41" s="28">
        <f>COUNTIF(C:C,U41)</f>
        <v>3</v>
      </c>
      <c r="X41" s="30">
        <f t="shared" si="25"/>
        <v>50.88378049097372</v>
      </c>
      <c r="Y41" s="28">
        <f>SUMIF(C:C,U41,R:R)</f>
        <v>23.55</v>
      </c>
      <c r="Z41" s="28">
        <f t="shared" si="26"/>
        <v>7.8500000000000005</v>
      </c>
    </row>
    <row r="42" spans="2:30" ht="24" customHeight="1">
      <c r="B42" s="16">
        <v>43072</v>
      </c>
      <c r="C42" s="22"/>
      <c r="D42" s="7"/>
      <c r="E42" s="21"/>
      <c r="F42" s="7"/>
      <c r="G42" s="9"/>
      <c r="H42" s="10">
        <f t="shared" si="19"/>
        <v>0</v>
      </c>
      <c r="I42" s="11" t="s">
        <v>4</v>
      </c>
      <c r="J42" s="12" t="str">
        <f t="shared" si="20"/>
        <v>-</v>
      </c>
      <c r="K42" s="13">
        <f t="shared" si="21"/>
        <v>0</v>
      </c>
      <c r="L42" s="12" t="str">
        <f t="shared" si="22"/>
        <v>-</v>
      </c>
      <c r="M42" s="15" t="str">
        <f t="shared" si="23"/>
        <v>-</v>
      </c>
      <c r="N42" s="13">
        <f>SUM($L$4:L42)/COUNT($L$4:L42)</f>
        <v>4.0245041293073944</v>
      </c>
      <c r="O42" s="13">
        <f t="shared" si="24"/>
        <v>4.0245041293073944</v>
      </c>
      <c r="P42" s="14"/>
      <c r="Q42" s="14"/>
      <c r="R42" s="13"/>
      <c r="U42" s="31" t="s">
        <v>32</v>
      </c>
      <c r="V42" s="28">
        <f>SUMIF(C:C,U42,J:J)</f>
        <v>101.33306680381421</v>
      </c>
      <c r="W42" s="28">
        <f>COUNTIF(C:C,U42)</f>
        <v>2</v>
      </c>
      <c r="X42" s="30">
        <f t="shared" si="25"/>
        <v>50.666533401907103</v>
      </c>
      <c r="Y42" s="28">
        <f>SUMIF(C:C,U42,R:R)</f>
        <v>10</v>
      </c>
      <c r="Z42" s="28">
        <f t="shared" si="26"/>
        <v>5</v>
      </c>
    </row>
    <row r="43" spans="2:30" ht="24" customHeight="1">
      <c r="B43" s="16">
        <v>43086</v>
      </c>
      <c r="C43" s="22"/>
      <c r="D43" s="7"/>
      <c r="E43" s="21"/>
      <c r="F43" s="7"/>
      <c r="G43" s="9"/>
      <c r="H43" s="10">
        <f t="shared" si="19"/>
        <v>0</v>
      </c>
      <c r="I43" s="11" t="s">
        <v>4</v>
      </c>
      <c r="J43" s="12" t="str">
        <f t="shared" si="20"/>
        <v>-</v>
      </c>
      <c r="K43" s="13">
        <f t="shared" si="21"/>
        <v>0</v>
      </c>
      <c r="L43" s="12" t="str">
        <f t="shared" si="22"/>
        <v>-</v>
      </c>
      <c r="M43" s="15" t="str">
        <f t="shared" si="23"/>
        <v>-</v>
      </c>
      <c r="N43" s="13">
        <f>SUM($L$4:L43)/COUNT($L$4:L43)</f>
        <v>4.0245041293073944</v>
      </c>
      <c r="O43" s="13">
        <f t="shared" si="24"/>
        <v>4.0245041293073944</v>
      </c>
      <c r="P43" s="14"/>
      <c r="Q43" s="14"/>
      <c r="R43" s="13"/>
      <c r="U43" s="31" t="s">
        <v>33</v>
      </c>
      <c r="V43" s="28">
        <f>SUMIF(C:C,U43,J:J)</f>
        <v>102.56760608233051</v>
      </c>
      <c r="W43" s="28">
        <f>COUNTIF(C:C,U43)</f>
        <v>2</v>
      </c>
      <c r="X43" s="30">
        <f t="shared" si="25"/>
        <v>51.283803041165257</v>
      </c>
      <c r="Y43" s="28">
        <f>SUMIF(C:C,U43,R:R)</f>
        <v>14.5</v>
      </c>
      <c r="Z43" s="28">
        <f t="shared" si="26"/>
        <v>7.25</v>
      </c>
    </row>
    <row r="44" spans="2:30" ht="24" customHeight="1">
      <c r="B44" s="16">
        <v>43100</v>
      </c>
      <c r="C44" s="22"/>
      <c r="D44" s="7"/>
      <c r="E44" s="21"/>
      <c r="F44" s="7"/>
      <c r="G44" s="9"/>
      <c r="H44" s="10">
        <f t="shared" si="19"/>
        <v>0</v>
      </c>
      <c r="I44" s="11" t="s">
        <v>4</v>
      </c>
      <c r="J44" s="12" t="str">
        <f t="shared" si="20"/>
        <v>-</v>
      </c>
      <c r="K44" s="13">
        <f t="shared" si="21"/>
        <v>0</v>
      </c>
      <c r="L44" s="12" t="str">
        <f t="shared" si="22"/>
        <v>-</v>
      </c>
      <c r="M44" s="15" t="str">
        <f t="shared" si="23"/>
        <v>-</v>
      </c>
      <c r="N44" s="13">
        <f>SUM($L$4:L44)/COUNT($L$4:L44)</f>
        <v>4.0245041293073944</v>
      </c>
      <c r="O44" s="13">
        <f t="shared" si="24"/>
        <v>4.0245041293073944</v>
      </c>
      <c r="P44" s="14"/>
      <c r="Q44" s="14"/>
      <c r="R44" s="13"/>
      <c r="U44" s="31" t="s">
        <v>34</v>
      </c>
      <c r="V44" s="28">
        <f>SUMIF(C:C,U44,J:J)</f>
        <v>51.7</v>
      </c>
      <c r="W44" s="28">
        <f>COUNTIF(C:C,U44)</f>
        <v>1</v>
      </c>
      <c r="X44" s="30">
        <f t="shared" si="25"/>
        <v>51.7</v>
      </c>
      <c r="Y44" s="28">
        <f>SUMIF(C:C,U44,R:R)</f>
        <v>7.5</v>
      </c>
      <c r="Z44" s="28">
        <f t="shared" si="26"/>
        <v>7.5</v>
      </c>
    </row>
    <row r="45" spans="2:30" ht="24" customHeight="1">
      <c r="B45" s="16">
        <v>43114</v>
      </c>
      <c r="C45" s="22"/>
      <c r="D45" s="7"/>
      <c r="E45" s="21"/>
      <c r="F45" s="7"/>
      <c r="G45" s="9"/>
      <c r="H45" s="10">
        <f t="shared" si="19"/>
        <v>0</v>
      </c>
      <c r="I45" s="11" t="s">
        <v>4</v>
      </c>
      <c r="J45" s="12" t="str">
        <f t="shared" si="20"/>
        <v>-</v>
      </c>
      <c r="K45" s="13">
        <f t="shared" si="21"/>
        <v>0</v>
      </c>
      <c r="L45" s="12" t="str">
        <f t="shared" si="22"/>
        <v>-</v>
      </c>
      <c r="M45" s="15" t="str">
        <f t="shared" si="23"/>
        <v>-</v>
      </c>
      <c r="N45" s="13">
        <f>SUM($L$4:L45)/COUNT($L$4:L45)</f>
        <v>4.0245041293073944</v>
      </c>
      <c r="O45" s="13">
        <f t="shared" si="24"/>
        <v>4.0245041293073944</v>
      </c>
      <c r="P45" s="14"/>
      <c r="Q45" s="14"/>
      <c r="R45" s="13"/>
      <c r="U45" s="31" t="s">
        <v>35</v>
      </c>
      <c r="V45" s="28">
        <f>SUMIF(C:C,U45,J:J)</f>
        <v>51.434404073033704</v>
      </c>
      <c r="W45" s="28">
        <f>COUNTIF(C:C,U45)</f>
        <v>1</v>
      </c>
      <c r="X45" s="30">
        <f t="shared" si="25"/>
        <v>51.434404073033704</v>
      </c>
      <c r="Y45" s="28">
        <f>SUMIF(C:C,U45,R:R)</f>
        <v>13.5</v>
      </c>
      <c r="Z45" s="28">
        <f t="shared" si="26"/>
        <v>13.5</v>
      </c>
    </row>
    <row r="46" spans="2:30" ht="24" customHeight="1">
      <c r="B46" s="16">
        <v>43128</v>
      </c>
      <c r="C46" s="22"/>
      <c r="D46" s="7"/>
      <c r="E46" s="21"/>
      <c r="F46" s="7"/>
      <c r="G46" s="9"/>
      <c r="H46" s="10">
        <f t="shared" si="19"/>
        <v>0</v>
      </c>
      <c r="I46" s="11" t="s">
        <v>4</v>
      </c>
      <c r="J46" s="12" t="str">
        <f t="shared" si="20"/>
        <v>-</v>
      </c>
      <c r="K46" s="13">
        <f t="shared" si="21"/>
        <v>0</v>
      </c>
      <c r="L46" s="12" t="str">
        <f t="shared" si="22"/>
        <v>-</v>
      </c>
      <c r="M46" s="15" t="str">
        <f t="shared" si="23"/>
        <v>-</v>
      </c>
      <c r="N46" s="13">
        <f>SUM($L$4:L46)/COUNT($L$4:L46)</f>
        <v>4.0245041293073944</v>
      </c>
      <c r="O46" s="13">
        <f t="shared" si="24"/>
        <v>4.0245041293073944</v>
      </c>
      <c r="P46" s="14"/>
      <c r="Q46" s="14"/>
      <c r="R46" s="13"/>
      <c r="U46" s="31" t="s">
        <v>37</v>
      </c>
      <c r="V46" s="28">
        <f>SUMIF(C:C,U46,J:J)</f>
        <v>162.90476081995024</v>
      </c>
      <c r="W46" s="28">
        <f>COUNTIF(C:C,U46)</f>
        <v>3</v>
      </c>
      <c r="X46" s="30">
        <f t="shared" si="25"/>
        <v>54.301586939983416</v>
      </c>
      <c r="Y46" s="28">
        <f>SUMIF(C:C,U46,R:R)</f>
        <v>50</v>
      </c>
      <c r="Z46" s="28">
        <f t="shared" si="26"/>
        <v>16.666666666666668</v>
      </c>
    </row>
    <row r="47" spans="2:30" ht="24" customHeight="1">
      <c r="B47" s="16">
        <v>43142</v>
      </c>
      <c r="C47" s="22"/>
      <c r="D47" s="7"/>
      <c r="E47" s="21"/>
      <c r="F47" s="7"/>
      <c r="G47" s="9"/>
      <c r="H47" s="10">
        <f t="shared" si="19"/>
        <v>0</v>
      </c>
      <c r="I47" s="11" t="s">
        <v>4</v>
      </c>
      <c r="J47" s="12" t="str">
        <f t="shared" si="20"/>
        <v>-</v>
      </c>
      <c r="K47" s="13">
        <f t="shared" si="21"/>
        <v>0</v>
      </c>
      <c r="L47" s="12" t="str">
        <f t="shared" si="22"/>
        <v>-</v>
      </c>
      <c r="M47" s="15" t="str">
        <f t="shared" si="23"/>
        <v>-</v>
      </c>
      <c r="N47" s="13">
        <f>SUM($L$4:L47)/COUNT($L$4:L47)</f>
        <v>4.0245041293073944</v>
      </c>
      <c r="O47" s="13">
        <f t="shared" si="24"/>
        <v>4.0245041293073944</v>
      </c>
      <c r="P47" s="14"/>
      <c r="Q47" s="14"/>
      <c r="R47" s="13"/>
      <c r="U47" s="31" t="s">
        <v>38</v>
      </c>
      <c r="V47" s="28">
        <f>SUMIF(C:C,U47,J:J)</f>
        <v>0</v>
      </c>
      <c r="W47" s="28">
        <f>COUNTIF(C:C,U47)</f>
        <v>0</v>
      </c>
      <c r="X47" s="30"/>
      <c r="Y47" s="28">
        <f>SUMIF(C:C,U47,R:R)</f>
        <v>0</v>
      </c>
      <c r="Z47" s="28"/>
    </row>
    <row r="48" spans="2:30" ht="24" customHeight="1">
      <c r="B48" s="16">
        <v>43156</v>
      </c>
      <c r="C48" s="22"/>
      <c r="D48" s="7"/>
      <c r="E48" s="21"/>
      <c r="F48" s="7"/>
      <c r="G48" s="9"/>
      <c r="H48" s="10">
        <f t="shared" si="19"/>
        <v>0</v>
      </c>
      <c r="I48" s="11" t="s">
        <v>4</v>
      </c>
      <c r="J48" s="12" t="str">
        <f t="shared" si="20"/>
        <v>-</v>
      </c>
      <c r="K48" s="13">
        <f t="shared" si="21"/>
        <v>0</v>
      </c>
      <c r="L48" s="12" t="str">
        <f t="shared" si="22"/>
        <v>-</v>
      </c>
      <c r="M48" s="15" t="str">
        <f t="shared" si="23"/>
        <v>-</v>
      </c>
      <c r="N48" s="13">
        <f>SUM($L$4:L48)/COUNT($L$4:L48)</f>
        <v>4.0245041293073944</v>
      </c>
      <c r="O48" s="13">
        <f t="shared" si="24"/>
        <v>4.0245041293073944</v>
      </c>
      <c r="P48" s="14"/>
      <c r="Q48" s="14"/>
      <c r="R48" s="13"/>
      <c r="U48" s="31" t="s">
        <v>39</v>
      </c>
      <c r="V48" s="28">
        <f>SUMIF(C:C,U48,J:J)</f>
        <v>0</v>
      </c>
      <c r="W48" s="28">
        <f>COUNTIF(C:C,U48)</f>
        <v>0</v>
      </c>
      <c r="X48" s="30"/>
      <c r="Y48" s="28">
        <f>SUMIF(C:C,U48,R:R)</f>
        <v>0</v>
      </c>
      <c r="Z48" s="28"/>
    </row>
    <row r="49" spans="2:26" ht="24" customHeight="1">
      <c r="B49" s="16">
        <v>43170</v>
      </c>
      <c r="C49" s="22"/>
      <c r="D49" s="7"/>
      <c r="E49" s="21"/>
      <c r="F49" s="7"/>
      <c r="G49" s="9"/>
      <c r="H49" s="10">
        <f t="shared" si="19"/>
        <v>0</v>
      </c>
      <c r="I49" s="11" t="s">
        <v>4</v>
      </c>
      <c r="J49" s="12" t="str">
        <f t="shared" si="20"/>
        <v>-</v>
      </c>
      <c r="K49" s="13">
        <f>SUM(J47:J49)/3</f>
        <v>0</v>
      </c>
      <c r="L49" s="12" t="str">
        <f t="shared" si="22"/>
        <v>-</v>
      </c>
      <c r="M49" s="15" t="str">
        <f t="shared" si="23"/>
        <v>-</v>
      </c>
      <c r="N49" s="13">
        <f>SUM($L$4:L49)/COUNT($L$4:L49)</f>
        <v>4.0245041293073944</v>
      </c>
      <c r="O49" s="13">
        <f>SUM(N47:N49)/3</f>
        <v>4.0245041293073944</v>
      </c>
      <c r="P49" s="14"/>
      <c r="Q49" s="14"/>
      <c r="R49" s="13"/>
      <c r="U49" s="32" t="s">
        <v>48</v>
      </c>
      <c r="V49" s="33">
        <f>SUM(V36:V48)</f>
        <v>1326.852837101859</v>
      </c>
      <c r="W49" s="33">
        <f>SUM(W36:W48)</f>
        <v>25</v>
      </c>
      <c r="X49" s="33">
        <f>SUM(X36:X48)/COUNT(X36:X48)</f>
        <v>52.816951280537161</v>
      </c>
      <c r="Y49" s="33">
        <f>SUM(Y36:Y48)/COUNT(Y36:Y48)</f>
        <v>25.234615384615385</v>
      </c>
      <c r="Z49" s="33">
        <f>SUM(Z36:Z48)/COUNT(Z36:Z48)</f>
        <v>12.615151515151513</v>
      </c>
    </row>
    <row r="50" spans="2:26" ht="24" customHeight="1">
      <c r="B50" s="16">
        <v>43184</v>
      </c>
      <c r="C50" s="22"/>
      <c r="D50" s="7"/>
      <c r="E50" s="21"/>
      <c r="F50" s="7"/>
      <c r="G50" s="9"/>
      <c r="H50" s="10">
        <f t="shared" si="19"/>
        <v>0</v>
      </c>
      <c r="I50" s="11" t="s">
        <v>4</v>
      </c>
      <c r="J50" s="12" t="str">
        <f t="shared" si="20"/>
        <v>-</v>
      </c>
      <c r="K50" s="13">
        <f>SUM(J48:J50)/3</f>
        <v>0</v>
      </c>
      <c r="L50" s="12" t="str">
        <f t="shared" si="22"/>
        <v>-</v>
      </c>
      <c r="M50" s="15" t="str">
        <f t="shared" si="23"/>
        <v>-</v>
      </c>
      <c r="N50" s="13">
        <f>SUM($L$4:L50)/COUNT($L$4:L50)</f>
        <v>4.0245041293073944</v>
      </c>
      <c r="O50" s="13">
        <f>SUM(N48:N50)/3</f>
        <v>4.0245041293073944</v>
      </c>
      <c r="P50" s="14"/>
      <c r="Q50" s="14"/>
      <c r="R50" s="13"/>
    </row>
    <row r="51" spans="2:26" ht="24" customHeight="1">
      <c r="B51" s="16">
        <v>43198</v>
      </c>
      <c r="C51" s="22"/>
      <c r="D51" s="7"/>
      <c r="E51" s="21"/>
      <c r="F51" s="7"/>
      <c r="G51" s="9"/>
      <c r="H51" s="10">
        <f t="shared" si="19"/>
        <v>0</v>
      </c>
      <c r="I51" s="11" t="s">
        <v>4</v>
      </c>
      <c r="J51" s="12" t="str">
        <f t="shared" si="20"/>
        <v>-</v>
      </c>
      <c r="K51" s="13">
        <f t="shared" si="21"/>
        <v>0</v>
      </c>
      <c r="L51" s="12" t="str">
        <f t="shared" si="22"/>
        <v>-</v>
      </c>
      <c r="M51" s="15" t="str">
        <f t="shared" si="23"/>
        <v>-</v>
      </c>
      <c r="N51" s="13">
        <f>SUM($L$4:L51)/COUNT($L$4:L51)</f>
        <v>4.0245041293073944</v>
      </c>
      <c r="O51" s="13">
        <f t="shared" si="24"/>
        <v>4.0245041293073944</v>
      </c>
      <c r="P51" s="14"/>
      <c r="Q51" s="14"/>
      <c r="R51" s="13"/>
    </row>
    <row r="52" spans="2:26" ht="24" customHeight="1">
      <c r="B52" s="16">
        <v>43212</v>
      </c>
      <c r="C52" s="22"/>
      <c r="D52" s="7"/>
      <c r="E52" s="21"/>
      <c r="F52" s="7"/>
      <c r="G52" s="9"/>
      <c r="H52" s="10">
        <f t="shared" si="19"/>
        <v>0</v>
      </c>
      <c r="I52" s="11" t="s">
        <v>4</v>
      </c>
      <c r="J52" s="12" t="str">
        <f t="shared" si="20"/>
        <v>-</v>
      </c>
      <c r="K52" s="13">
        <f t="shared" si="21"/>
        <v>0</v>
      </c>
      <c r="L52" s="12" t="str">
        <f t="shared" si="22"/>
        <v>-</v>
      </c>
      <c r="M52" s="15" t="str">
        <f t="shared" si="23"/>
        <v>-</v>
      </c>
      <c r="N52" s="13">
        <f>SUM($L$4:L52)/COUNT($L$4:L52)</f>
        <v>4.0245041293073944</v>
      </c>
      <c r="O52" s="13">
        <f t="shared" si="24"/>
        <v>4.0245041293073944</v>
      </c>
      <c r="P52" s="14"/>
      <c r="Q52" s="14"/>
      <c r="R52" s="13"/>
    </row>
    <row r="53" spans="2:26" ht="24" customHeight="1">
      <c r="B53" s="16">
        <v>43226</v>
      </c>
      <c r="C53" s="22"/>
      <c r="D53" s="7"/>
      <c r="E53" s="21"/>
      <c r="F53" s="7"/>
      <c r="G53" s="9"/>
      <c r="H53" s="10">
        <f t="shared" si="19"/>
        <v>0</v>
      </c>
      <c r="I53" s="11" t="s">
        <v>4</v>
      </c>
      <c r="J53" s="12" t="str">
        <f t="shared" si="20"/>
        <v>-</v>
      </c>
      <c r="K53" s="13">
        <f t="shared" si="21"/>
        <v>0</v>
      </c>
      <c r="L53" s="12" t="str">
        <f t="shared" si="22"/>
        <v>-</v>
      </c>
      <c r="M53" s="15" t="str">
        <f t="shared" si="23"/>
        <v>-</v>
      </c>
      <c r="N53" s="13">
        <f>SUM($L$4:L53)/COUNT($L$4:L53)</f>
        <v>4.0245041293073944</v>
      </c>
      <c r="O53" s="13">
        <f t="shared" si="24"/>
        <v>4.0245041293073944</v>
      </c>
      <c r="P53" s="14"/>
      <c r="Q53" s="14"/>
      <c r="R53" s="13"/>
    </row>
    <row r="54" spans="2:26" ht="24" customHeight="1">
      <c r="B54" s="16">
        <v>43240</v>
      </c>
      <c r="C54" s="22"/>
      <c r="D54" s="7"/>
      <c r="E54" s="21"/>
      <c r="F54" s="7"/>
      <c r="G54" s="9"/>
      <c r="H54" s="10">
        <f t="shared" si="19"/>
        <v>0</v>
      </c>
      <c r="I54" s="11" t="s">
        <v>4</v>
      </c>
      <c r="J54" s="12" t="str">
        <f t="shared" si="20"/>
        <v>-</v>
      </c>
      <c r="K54" s="13">
        <f t="shared" si="21"/>
        <v>0</v>
      </c>
      <c r="L54" s="12" t="str">
        <f t="shared" si="22"/>
        <v>-</v>
      </c>
      <c r="M54" s="15" t="str">
        <f t="shared" si="23"/>
        <v>-</v>
      </c>
      <c r="N54" s="13">
        <f>SUM($L$4:L54)/COUNT($L$4:L54)</f>
        <v>4.0245041293073944</v>
      </c>
      <c r="O54" s="13">
        <f t="shared" si="24"/>
        <v>4.0245041293073944</v>
      </c>
      <c r="P54" s="14"/>
      <c r="Q54" s="14"/>
      <c r="R54" s="13"/>
    </row>
    <row r="55" spans="2:26" ht="24" customHeight="1">
      <c r="B55" s="16">
        <v>43254</v>
      </c>
      <c r="C55" s="22"/>
      <c r="D55" s="7"/>
      <c r="E55" s="21"/>
      <c r="F55" s="7"/>
      <c r="G55" s="9"/>
      <c r="H55" s="10">
        <f t="shared" si="19"/>
        <v>0</v>
      </c>
      <c r="I55" s="11" t="s">
        <v>4</v>
      </c>
      <c r="J55" s="12" t="str">
        <f t="shared" si="20"/>
        <v>-</v>
      </c>
      <c r="K55" s="13">
        <f t="shared" si="21"/>
        <v>0</v>
      </c>
      <c r="L55" s="12" t="str">
        <f t="shared" si="22"/>
        <v>-</v>
      </c>
      <c r="M55" s="15" t="str">
        <f t="shared" si="23"/>
        <v>-</v>
      </c>
      <c r="N55" s="13">
        <f>SUM($L$4:L55)/COUNT($L$4:L55)</f>
        <v>4.0245041293073944</v>
      </c>
      <c r="O55" s="13">
        <f t="shared" si="24"/>
        <v>4.0245041293073944</v>
      </c>
      <c r="P55" s="14"/>
      <c r="Q55" s="14"/>
      <c r="R55" s="13"/>
    </row>
    <row r="56" spans="2:26" ht="24" customHeight="1">
      <c r="B56" s="16">
        <v>43268</v>
      </c>
      <c r="C56" s="22"/>
      <c r="D56" s="7"/>
      <c r="E56" s="21"/>
      <c r="F56" s="7"/>
      <c r="G56" s="9"/>
      <c r="H56" s="10">
        <f t="shared" si="19"/>
        <v>0</v>
      </c>
      <c r="I56" s="11" t="s">
        <v>4</v>
      </c>
      <c r="J56" s="12" t="str">
        <f t="shared" si="20"/>
        <v>-</v>
      </c>
      <c r="K56" s="13">
        <f t="shared" si="21"/>
        <v>0</v>
      </c>
      <c r="L56" s="12" t="str">
        <f t="shared" si="22"/>
        <v>-</v>
      </c>
      <c r="M56" s="15" t="str">
        <f t="shared" si="23"/>
        <v>-</v>
      </c>
      <c r="N56" s="13">
        <f>SUM($L$4:L56)/COUNT($L$4:L56)</f>
        <v>4.0245041293073944</v>
      </c>
      <c r="O56" s="13">
        <f t="shared" si="24"/>
        <v>4.0245041293073944</v>
      </c>
      <c r="P56" s="14"/>
      <c r="Q56" s="14"/>
      <c r="R56" s="13"/>
    </row>
  </sheetData>
  <mergeCells count="30">
    <mergeCell ref="AA4:AB4"/>
    <mergeCell ref="AA5:AB5"/>
    <mergeCell ref="Y5:Z5"/>
    <mergeCell ref="W5:X5"/>
    <mergeCell ref="U5:V5"/>
    <mergeCell ref="U4:V4"/>
    <mergeCell ref="W4:X4"/>
    <mergeCell ref="Y4:Z4"/>
    <mergeCell ref="W10:X12"/>
    <mergeCell ref="Y10:Z12"/>
    <mergeCell ref="AA10:AB12"/>
    <mergeCell ref="U6:V8"/>
    <mergeCell ref="W6:X8"/>
    <mergeCell ref="Y6:Z8"/>
    <mergeCell ref="AA6:AB8"/>
    <mergeCell ref="W9:X9"/>
    <mergeCell ref="Y9:Z9"/>
    <mergeCell ref="AA9:AB9"/>
    <mergeCell ref="U9:V9"/>
    <mergeCell ref="B1:J1"/>
    <mergeCell ref="L2:M2"/>
    <mergeCell ref="K1:L1"/>
    <mergeCell ref="O1:P1"/>
    <mergeCell ref="U10:V12"/>
    <mergeCell ref="Q1:R1"/>
    <mergeCell ref="AC10:AD10"/>
    <mergeCell ref="AC11:AD11"/>
    <mergeCell ref="AC4:AD4"/>
    <mergeCell ref="AC5:AD5"/>
    <mergeCell ref="AC6:AD8"/>
  </mergeCells>
  <conditionalFormatting sqref="R3:R56">
    <cfRule type="colorScale" priority="15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J3:J56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K3:K56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N3:N56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O3:O56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4:AB4">
    <cfRule type="cellIs" dxfId="8" priority="1" stopIfTrue="1" operator="lessThan">
      <formula>0</formula>
    </cfRule>
    <cfRule type="cellIs" dxfId="7" priority="2" stopIfTrue="1" operator="lessThan">
      <formula>250</formula>
    </cfRule>
    <cfRule type="cellIs" dxfId="6" priority="3" stopIfTrue="1" operator="lessThan">
      <formula>500</formula>
    </cfRule>
    <cfRule type="cellIs" dxfId="5" priority="10" stopIfTrue="1" operator="lessThan">
      <formula>1000</formula>
    </cfRule>
  </conditionalFormatting>
  <conditionalFormatting sqref="AC4">
    <cfRule type="timePeriod" dxfId="4" priority="9" timePeriod="thisMonth">
      <formula>AND(MONTH(AC4)=MONTH(TODAY()),YEAR(AC4)=YEAR(TODAY()))</formula>
    </cfRule>
  </conditionalFormatting>
  <conditionalFormatting sqref="AC6:AD8">
    <cfRule type="expression" dxfId="3" priority="4" stopIfTrue="1">
      <formula>TODAY()&gt;AC6</formula>
    </cfRule>
    <cfRule type="expression" dxfId="2" priority="5" stopIfTrue="1">
      <formula>TODAY()&gt;AC6-15</formula>
    </cfRule>
    <cfRule type="expression" dxfId="1" priority="6" stopIfTrue="1">
      <formula>TODAY()&gt;AC6-30</formula>
    </cfRule>
    <cfRule type="expression" dxfId="0" priority="7" stopIfTrue="1">
      <formula>TODAY()&gt;AC6-45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Windows User</cp:lastModifiedBy>
  <dcterms:created xsi:type="dcterms:W3CDTF">2016-07-15T23:43:57Z</dcterms:created>
  <dcterms:modified xsi:type="dcterms:W3CDTF">2017-07-02T19:09:11Z</dcterms:modified>
</cp:coreProperties>
</file>