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\Desktop\"/>
    </mc:Choice>
  </mc:AlternateContent>
  <xr:revisionPtr revIDLastSave="0" documentId="10_ncr:8100000_{CAD09854-72B3-4578-9B4B-369D027C52C3}" xr6:coauthVersionLast="34" xr6:coauthVersionMax="34" xr10:uidLastSave="{00000000-0000-0000-0000-000000000000}"/>
  <bookViews>
    <workbookView xWindow="0" yWindow="0" windowWidth="28335" windowHeight="11850" xr2:uid="{00000000-000D-0000-FFFF-FFFF01000000}"/>
  </bookViews>
  <sheets>
    <sheet name="2016" sheetId="1" r:id="rId1"/>
    <sheet name="Servicing" sheetId="2" r:id="rId2"/>
    <sheet name="Running Costs" sheetId="3" r:id="rId3"/>
    <sheet name="Summary" sheetId="6" state="hidden" r:id="rId4"/>
    <sheet name="Inputs" sheetId="7" state="hidden" r:id="rId5"/>
  </sheets>
  <definedNames>
    <definedName name="_xlnm._FilterDatabase" localSheetId="0" hidden="1">'2016'!$B$2:$X$2</definedName>
  </definedNames>
  <calcPr calcId="162913"/>
</workbook>
</file>

<file path=xl/calcChain.xml><?xml version="1.0" encoding="utf-8"?>
<calcChain xmlns="http://schemas.openxmlformats.org/spreadsheetml/2006/main">
  <c r="C53" i="2" l="1"/>
  <c r="D53" i="2"/>
  <c r="C54" i="2"/>
  <c r="D54" i="2"/>
  <c r="H63" i="1" l="1"/>
  <c r="J63" i="1"/>
  <c r="K63" i="1"/>
  <c r="L63" i="1" s="1"/>
  <c r="X63" i="1"/>
  <c r="H64" i="1"/>
  <c r="J64" i="1"/>
  <c r="K64" i="1"/>
  <c r="L64" i="1" s="1"/>
  <c r="X64" i="1"/>
  <c r="H65" i="1"/>
  <c r="J65" i="1"/>
  <c r="K65" i="1"/>
  <c r="O65" i="1" s="1"/>
  <c r="X65" i="1"/>
  <c r="H66" i="1"/>
  <c r="J66" i="1"/>
  <c r="K66" i="1"/>
  <c r="L66" i="1" s="1"/>
  <c r="X66" i="1"/>
  <c r="H67" i="1"/>
  <c r="J67" i="1"/>
  <c r="K67" i="1"/>
  <c r="L67" i="1" s="1"/>
  <c r="X67" i="1"/>
  <c r="H68" i="1"/>
  <c r="J68" i="1"/>
  <c r="K68" i="1"/>
  <c r="O68" i="1" s="1"/>
  <c r="P68" i="1"/>
  <c r="X68" i="1"/>
  <c r="H69" i="1"/>
  <c r="J69" i="1"/>
  <c r="K69" i="1"/>
  <c r="O69" i="1" s="1"/>
  <c r="X69" i="1"/>
  <c r="H70" i="1"/>
  <c r="J70" i="1"/>
  <c r="K70" i="1"/>
  <c r="O70" i="1"/>
  <c r="X70" i="1"/>
  <c r="H71" i="1"/>
  <c r="J71" i="1"/>
  <c r="K71" i="1"/>
  <c r="L71" i="1" s="1"/>
  <c r="X71" i="1"/>
  <c r="H72" i="1"/>
  <c r="J72" i="1"/>
  <c r="K72" i="1"/>
  <c r="P72" i="1" s="1"/>
  <c r="L72" i="1"/>
  <c r="O72" i="1"/>
  <c r="X72" i="1"/>
  <c r="H73" i="1"/>
  <c r="J73" i="1"/>
  <c r="K73" i="1"/>
  <c r="O73" i="1" s="1"/>
  <c r="X73" i="1"/>
  <c r="H74" i="1"/>
  <c r="J74" i="1"/>
  <c r="K74" i="1"/>
  <c r="X74" i="1"/>
  <c r="M69" i="1" l="1"/>
  <c r="O66" i="1"/>
  <c r="L73" i="1"/>
  <c r="P73" i="1"/>
  <c r="M74" i="1"/>
  <c r="L65" i="1"/>
  <c r="M65" i="1"/>
  <c r="P64" i="1"/>
  <c r="M66" i="1"/>
  <c r="P65" i="1"/>
  <c r="L74" i="1"/>
  <c r="M70" i="1"/>
  <c r="P69" i="1"/>
  <c r="P66" i="1"/>
  <c r="O64" i="1"/>
  <c r="P74" i="1"/>
  <c r="M73" i="1"/>
  <c r="L70" i="1"/>
  <c r="L69" i="1"/>
  <c r="L68" i="1"/>
  <c r="P70" i="1"/>
  <c r="O71" i="1"/>
  <c r="O63" i="1"/>
  <c r="M72" i="1"/>
  <c r="M68" i="1"/>
  <c r="O67" i="1"/>
  <c r="M71" i="1"/>
  <c r="M67" i="1"/>
  <c r="O74" i="1"/>
  <c r="P71" i="1"/>
  <c r="P67" i="1"/>
  <c r="P63" i="1"/>
  <c r="AC63" i="1"/>
  <c r="AE63" i="1"/>
  <c r="AB64" i="1"/>
  <c r="AC64" i="1"/>
  <c r="AE64" i="1"/>
  <c r="AG64" i="1"/>
  <c r="AB65" i="1"/>
  <c r="AC65" i="1"/>
  <c r="AE65" i="1"/>
  <c r="AG65" i="1"/>
  <c r="AB66" i="1"/>
  <c r="AC66" i="1"/>
  <c r="AE66" i="1"/>
  <c r="AG66" i="1"/>
  <c r="AB93" i="1"/>
  <c r="AB94" i="1"/>
  <c r="AB95" i="1"/>
  <c r="AF63" i="1" l="1"/>
  <c r="AF66" i="1"/>
  <c r="AF65" i="1"/>
  <c r="AF64" i="1"/>
  <c r="AD65" i="1"/>
  <c r="AD66" i="1"/>
  <c r="AD64" i="1"/>
  <c r="AE62" i="1"/>
  <c r="AC62" i="1"/>
  <c r="AF62" i="1" l="1"/>
  <c r="E31" i="3"/>
  <c r="C5" i="3"/>
  <c r="AE61" i="1" l="1"/>
  <c r="AC61" i="1"/>
  <c r="AE60" i="1"/>
  <c r="AC60" i="1"/>
  <c r="H53" i="1"/>
  <c r="J53" i="1"/>
  <c r="K53" i="1"/>
  <c r="L53" i="1" s="1"/>
  <c r="X53" i="1"/>
  <c r="H54" i="1"/>
  <c r="J54" i="1"/>
  <c r="K54" i="1"/>
  <c r="O54" i="1" s="1"/>
  <c r="X54" i="1"/>
  <c r="H55" i="1"/>
  <c r="AB89" i="1" s="1"/>
  <c r="J55" i="1"/>
  <c r="K55" i="1"/>
  <c r="X55" i="1"/>
  <c r="H56" i="1"/>
  <c r="J56" i="1"/>
  <c r="K56" i="1"/>
  <c r="X56" i="1"/>
  <c r="H57" i="1"/>
  <c r="J57" i="1"/>
  <c r="K57" i="1"/>
  <c r="L57" i="1" s="1"/>
  <c r="X57" i="1"/>
  <c r="H58" i="1"/>
  <c r="J58" i="1"/>
  <c r="K58" i="1"/>
  <c r="P58" i="1" s="1"/>
  <c r="O58" i="1"/>
  <c r="X58" i="1"/>
  <c r="H59" i="1"/>
  <c r="J59" i="1"/>
  <c r="K59" i="1"/>
  <c r="X59" i="1"/>
  <c r="H60" i="1"/>
  <c r="J60" i="1"/>
  <c r="K60" i="1"/>
  <c r="X60" i="1"/>
  <c r="H61" i="1"/>
  <c r="J61" i="1"/>
  <c r="K61" i="1"/>
  <c r="X61" i="1"/>
  <c r="H62" i="1"/>
  <c r="J62" i="1"/>
  <c r="K62" i="1"/>
  <c r="M64" i="1" s="1"/>
  <c r="X62" i="1"/>
  <c r="AE58" i="1"/>
  <c r="AC58" i="1"/>
  <c r="AE57" i="1"/>
  <c r="AC57" i="1"/>
  <c r="AE56" i="1"/>
  <c r="AC56" i="1"/>
  <c r="AE55" i="1"/>
  <c r="AC55" i="1"/>
  <c r="AB90" i="1"/>
  <c r="AF4" i="1"/>
  <c r="AC59" i="1"/>
  <c r="AE59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J75" i="1"/>
  <c r="C12" i="6" s="1"/>
  <c r="C13" i="6" s="1"/>
  <c r="L24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V39" i="1"/>
  <c r="V38" i="1"/>
  <c r="AC54" i="1"/>
  <c r="V37" i="1"/>
  <c r="V36" i="1"/>
  <c r="V35" i="1"/>
  <c r="C4" i="3"/>
  <c r="AC53" i="1"/>
  <c r="V34" i="1"/>
  <c r="V33" i="1"/>
  <c r="AC52" i="1"/>
  <c r="AC51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4" i="1"/>
  <c r="J5" i="1"/>
  <c r="J6" i="1"/>
  <c r="J7" i="1"/>
  <c r="J8" i="1"/>
  <c r="J9" i="1"/>
  <c r="J10" i="1"/>
  <c r="J11" i="1"/>
  <c r="J12" i="1"/>
  <c r="J13" i="1"/>
  <c r="J14" i="1"/>
  <c r="J15" i="1"/>
  <c r="D75" i="1"/>
  <c r="F75" i="1"/>
  <c r="C21" i="6" s="1"/>
  <c r="H33" i="1"/>
  <c r="K33" i="1"/>
  <c r="L33" i="1" s="1"/>
  <c r="H34" i="1"/>
  <c r="K34" i="1"/>
  <c r="O34" i="1" s="1"/>
  <c r="H35" i="1"/>
  <c r="K35" i="1"/>
  <c r="O35" i="1" s="1"/>
  <c r="V32" i="1"/>
  <c r="V31" i="1"/>
  <c r="V30" i="1"/>
  <c r="V29" i="1"/>
  <c r="C40" i="2"/>
  <c r="V28" i="1"/>
  <c r="V27" i="1"/>
  <c r="V26" i="1"/>
  <c r="V25" i="1"/>
  <c r="V24" i="1"/>
  <c r="H36" i="1"/>
  <c r="K36" i="1"/>
  <c r="P36" i="1" s="1"/>
  <c r="H37" i="1"/>
  <c r="K37" i="1"/>
  <c r="O37" i="1" s="1"/>
  <c r="H38" i="1"/>
  <c r="K38" i="1"/>
  <c r="P38" i="1" s="1"/>
  <c r="H39" i="1"/>
  <c r="K39" i="1"/>
  <c r="P39" i="1" s="1"/>
  <c r="H40" i="1"/>
  <c r="K40" i="1"/>
  <c r="O40" i="1" s="1"/>
  <c r="H41" i="1"/>
  <c r="K41" i="1"/>
  <c r="O41" i="1" s="1"/>
  <c r="H42" i="1"/>
  <c r="K42" i="1"/>
  <c r="P42" i="1" s="1"/>
  <c r="H43" i="1"/>
  <c r="K43" i="1"/>
  <c r="P43" i="1" s="1"/>
  <c r="H44" i="1"/>
  <c r="K44" i="1"/>
  <c r="P44" i="1" s="1"/>
  <c r="H45" i="1"/>
  <c r="K45" i="1"/>
  <c r="O45" i="1" s="1"/>
  <c r="H46" i="1"/>
  <c r="K46" i="1"/>
  <c r="P46" i="1" s="1"/>
  <c r="H47" i="1"/>
  <c r="K47" i="1"/>
  <c r="P47" i="1" s="1"/>
  <c r="H48" i="1"/>
  <c r="K48" i="1"/>
  <c r="L48" i="1" s="1"/>
  <c r="H49" i="1"/>
  <c r="K49" i="1"/>
  <c r="O49" i="1" s="1"/>
  <c r="H50" i="1"/>
  <c r="K50" i="1"/>
  <c r="P50" i="1" s="1"/>
  <c r="H51" i="1"/>
  <c r="K51" i="1"/>
  <c r="P51" i="1" s="1"/>
  <c r="H52" i="1"/>
  <c r="K52" i="1"/>
  <c r="P52" i="1" s="1"/>
  <c r="H27" i="1"/>
  <c r="K27" i="1"/>
  <c r="O27" i="1" s="1"/>
  <c r="H28" i="1"/>
  <c r="K28" i="1"/>
  <c r="P28" i="1" s="1"/>
  <c r="H29" i="1"/>
  <c r="K29" i="1"/>
  <c r="P29" i="1" s="1"/>
  <c r="H30" i="1"/>
  <c r="K30" i="1"/>
  <c r="O30" i="1" s="1"/>
  <c r="H31" i="1"/>
  <c r="K31" i="1"/>
  <c r="O31" i="1" s="1"/>
  <c r="H32" i="1"/>
  <c r="AG52" i="1" s="1"/>
  <c r="K32" i="1"/>
  <c r="P32" i="1" s="1"/>
  <c r="V23" i="1"/>
  <c r="P1" i="1"/>
  <c r="V22" i="1"/>
  <c r="AC41" i="1"/>
  <c r="AC42" i="1"/>
  <c r="AC43" i="1"/>
  <c r="AC44" i="1"/>
  <c r="AC45" i="1"/>
  <c r="AC46" i="1"/>
  <c r="AC47" i="1"/>
  <c r="AC48" i="1"/>
  <c r="AC49" i="1"/>
  <c r="AC50" i="1"/>
  <c r="AC40" i="1"/>
  <c r="V21" i="1"/>
  <c r="K5" i="1"/>
  <c r="L5" i="1" s="1"/>
  <c r="K6" i="1"/>
  <c r="P6" i="1" s="1"/>
  <c r="K7" i="1"/>
  <c r="P7" i="1" s="1"/>
  <c r="K8" i="1"/>
  <c r="L8" i="1" s="1"/>
  <c r="K9" i="1"/>
  <c r="L9" i="1" s="1"/>
  <c r="K10" i="1"/>
  <c r="L10" i="1" s="1"/>
  <c r="K11" i="1"/>
  <c r="O11" i="1" s="1"/>
  <c r="K12" i="1"/>
  <c r="L12" i="1" s="1"/>
  <c r="K13" i="1"/>
  <c r="L13" i="1" s="1"/>
  <c r="K14" i="1"/>
  <c r="O14" i="1" s="1"/>
  <c r="K15" i="1"/>
  <c r="O15" i="1" s="1"/>
  <c r="K16" i="1"/>
  <c r="L16" i="1" s="1"/>
  <c r="K17" i="1"/>
  <c r="L17" i="1" s="1"/>
  <c r="K18" i="1"/>
  <c r="L18" i="1" s="1"/>
  <c r="K19" i="1"/>
  <c r="O19" i="1" s="1"/>
  <c r="K4" i="1"/>
  <c r="K3" i="1"/>
  <c r="L3" i="1" s="1"/>
  <c r="K21" i="1"/>
  <c r="L21" i="1" s="1"/>
  <c r="K22" i="1"/>
  <c r="O22" i="1" s="1"/>
  <c r="K23" i="1"/>
  <c r="L23" i="1" s="1"/>
  <c r="O24" i="1"/>
  <c r="K25" i="1"/>
  <c r="P25" i="1" s="1"/>
  <c r="K26" i="1"/>
  <c r="O26" i="1" s="1"/>
  <c r="K20" i="1"/>
  <c r="P20" i="1" s="1"/>
  <c r="V20" i="1"/>
  <c r="V19" i="1"/>
  <c r="C30" i="2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H18" i="1"/>
  <c r="O18" i="1"/>
  <c r="V18" i="1"/>
  <c r="V17" i="1"/>
  <c r="V16" i="1"/>
  <c r="V15" i="1"/>
  <c r="V4" i="1"/>
  <c r="V5" i="1"/>
  <c r="V6" i="1"/>
  <c r="V7" i="1"/>
  <c r="V8" i="1"/>
  <c r="V9" i="1"/>
  <c r="V10" i="1"/>
  <c r="V11" i="1"/>
  <c r="V12" i="1"/>
  <c r="V13" i="1"/>
  <c r="V14" i="1"/>
  <c r="V3" i="1"/>
  <c r="H14" i="1"/>
  <c r="H15" i="1"/>
  <c r="H16" i="1"/>
  <c r="H17" i="1"/>
  <c r="H19" i="1"/>
  <c r="H20" i="1"/>
  <c r="H21" i="1"/>
  <c r="H22" i="1"/>
  <c r="H23" i="1"/>
  <c r="H24" i="1"/>
  <c r="H25" i="1"/>
  <c r="H26" i="1"/>
  <c r="AB78" i="1" s="1"/>
  <c r="H4" i="1"/>
  <c r="H5" i="1"/>
  <c r="H6" i="1"/>
  <c r="H7" i="1"/>
  <c r="H8" i="1"/>
  <c r="H9" i="1"/>
  <c r="H10" i="1"/>
  <c r="H11" i="1"/>
  <c r="H12" i="1"/>
  <c r="H13" i="1"/>
  <c r="H3" i="1"/>
  <c r="N66" i="1" l="1"/>
  <c r="N71" i="1"/>
  <c r="N74" i="1"/>
  <c r="N73" i="1"/>
  <c r="N70" i="1"/>
  <c r="N67" i="1"/>
  <c r="N72" i="1"/>
  <c r="N69" i="1"/>
  <c r="N64" i="1"/>
  <c r="N63" i="1"/>
  <c r="N68" i="1"/>
  <c r="N65" i="1"/>
  <c r="L61" i="1"/>
  <c r="M63" i="1"/>
  <c r="O10" i="1"/>
  <c r="L56" i="1"/>
  <c r="L55" i="1"/>
  <c r="E57" i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D52" i="2"/>
  <c r="AB91" i="1"/>
  <c r="D51" i="2"/>
  <c r="D50" i="2"/>
  <c r="AB92" i="1"/>
  <c r="AG63" i="1"/>
  <c r="O62" i="1"/>
  <c r="AB63" i="1"/>
  <c r="AD63" i="1" s="1"/>
  <c r="AA12" i="1"/>
  <c r="C50" i="2"/>
  <c r="C52" i="2"/>
  <c r="C51" i="2"/>
  <c r="AG62" i="1"/>
  <c r="O59" i="1"/>
  <c r="AB62" i="1"/>
  <c r="AD62" i="1" s="1"/>
  <c r="L4" i="1"/>
  <c r="AF61" i="1"/>
  <c r="AF60" i="1"/>
  <c r="AG60" i="1"/>
  <c r="AB61" i="1"/>
  <c r="AD61" i="1" s="1"/>
  <c r="L59" i="1"/>
  <c r="AG61" i="1"/>
  <c r="P62" i="1"/>
  <c r="P54" i="1"/>
  <c r="AB60" i="1"/>
  <c r="AD60" i="1" s="1"/>
  <c r="D41" i="2"/>
  <c r="D48" i="2"/>
  <c r="D46" i="2"/>
  <c r="D44" i="2"/>
  <c r="O61" i="1"/>
  <c r="AF56" i="1"/>
  <c r="AF58" i="1"/>
  <c r="M60" i="1"/>
  <c r="P59" i="1"/>
  <c r="L58" i="1"/>
  <c r="D47" i="2"/>
  <c r="AF57" i="1"/>
  <c r="M56" i="1"/>
  <c r="P55" i="1"/>
  <c r="O60" i="1"/>
  <c r="P56" i="1"/>
  <c r="O55" i="1"/>
  <c r="L60" i="1"/>
  <c r="O56" i="1"/>
  <c r="N62" i="1"/>
  <c r="N54" i="1"/>
  <c r="AF55" i="1"/>
  <c r="L62" i="1"/>
  <c r="M59" i="1"/>
  <c r="N58" i="1"/>
  <c r="L54" i="1"/>
  <c r="P60" i="1"/>
  <c r="O57" i="1"/>
  <c r="M55" i="1"/>
  <c r="O53" i="1"/>
  <c r="M62" i="1"/>
  <c r="N61" i="1"/>
  <c r="M58" i="1"/>
  <c r="N57" i="1"/>
  <c r="M54" i="1"/>
  <c r="N53" i="1"/>
  <c r="E75" i="1"/>
  <c r="M61" i="1"/>
  <c r="N60" i="1"/>
  <c r="M57" i="1"/>
  <c r="N56" i="1"/>
  <c r="M53" i="1"/>
  <c r="P61" i="1"/>
  <c r="N59" i="1"/>
  <c r="P57" i="1"/>
  <c r="N55" i="1"/>
  <c r="P53" i="1"/>
  <c r="AB56" i="1"/>
  <c r="AD56" i="1" s="1"/>
  <c r="AG57" i="1"/>
  <c r="AB55" i="1"/>
  <c r="AD55" i="1" s="1"/>
  <c r="AG56" i="1"/>
  <c r="AG55" i="1"/>
  <c r="AB58" i="1"/>
  <c r="AD58" i="1" s="1"/>
  <c r="AB57" i="1"/>
  <c r="AD57" i="1" s="1"/>
  <c r="AG58" i="1"/>
  <c r="P17" i="1"/>
  <c r="D36" i="2"/>
  <c r="D32" i="2"/>
  <c r="D34" i="2"/>
  <c r="P16" i="1"/>
  <c r="AB87" i="1"/>
  <c r="D38" i="2"/>
  <c r="C49" i="2"/>
  <c r="E30" i="2"/>
  <c r="P8" i="1"/>
  <c r="AB88" i="1"/>
  <c r="C47" i="2"/>
  <c r="C48" i="2"/>
  <c r="D49" i="2"/>
  <c r="AG59" i="1"/>
  <c r="AB59" i="1"/>
  <c r="AD59" i="1" s="1"/>
  <c r="D31" i="2"/>
  <c r="P12" i="1"/>
  <c r="P13" i="1"/>
  <c r="P5" i="1"/>
  <c r="D33" i="2"/>
  <c r="D37" i="2"/>
  <c r="D35" i="2"/>
  <c r="AB69" i="1"/>
  <c r="D40" i="2"/>
  <c r="D45" i="2"/>
  <c r="D43" i="2"/>
  <c r="L50" i="1"/>
  <c r="L46" i="1"/>
  <c r="L38" i="1"/>
  <c r="L34" i="1"/>
  <c r="L30" i="1"/>
  <c r="L26" i="1"/>
  <c r="L22" i="1"/>
  <c r="L14" i="1"/>
  <c r="L6" i="1"/>
  <c r="AB85" i="1"/>
  <c r="P9" i="1"/>
  <c r="L51" i="1"/>
  <c r="L47" i="1"/>
  <c r="L39" i="1"/>
  <c r="L35" i="1"/>
  <c r="L31" i="1"/>
  <c r="L27" i="1"/>
  <c r="L19" i="1"/>
  <c r="L15" i="1"/>
  <c r="L11" i="1"/>
  <c r="L7" i="1"/>
  <c r="D30" i="2"/>
  <c r="C46" i="2"/>
  <c r="L52" i="1"/>
  <c r="L40" i="1"/>
  <c r="L36" i="1"/>
  <c r="L32" i="1"/>
  <c r="L28" i="1"/>
  <c r="L20" i="1"/>
  <c r="D42" i="2"/>
  <c r="AF59" i="1"/>
  <c r="AB72" i="1"/>
  <c r="AG47" i="1"/>
  <c r="L49" i="1"/>
  <c r="L45" i="1"/>
  <c r="L37" i="1"/>
  <c r="L29" i="1"/>
  <c r="L25" i="1"/>
  <c r="D39" i="2"/>
  <c r="AC12" i="1"/>
  <c r="AE12" i="1"/>
  <c r="C4" i="6"/>
  <c r="C7" i="6" s="1"/>
  <c r="C3" i="6"/>
  <c r="C6" i="6" s="1"/>
  <c r="C18" i="6"/>
  <c r="C17" i="6"/>
  <c r="L44" i="1"/>
  <c r="C16" i="6"/>
  <c r="AB86" i="1"/>
  <c r="L43" i="1"/>
  <c r="L42" i="1"/>
  <c r="L41" i="1"/>
  <c r="AF52" i="1"/>
  <c r="AF53" i="1"/>
  <c r="AG51" i="1"/>
  <c r="AG54" i="1"/>
  <c r="AB70" i="1"/>
  <c r="AG50" i="1"/>
  <c r="AB71" i="1"/>
  <c r="AB77" i="1"/>
  <c r="AB75" i="1"/>
  <c r="AB73" i="1"/>
  <c r="AG46" i="1"/>
  <c r="AG42" i="1"/>
  <c r="AB79" i="1"/>
  <c r="AG41" i="1"/>
  <c r="AG43" i="1"/>
  <c r="AB83" i="1"/>
  <c r="AB76" i="1"/>
  <c r="AB74" i="1"/>
  <c r="AG48" i="1"/>
  <c r="AG44" i="1"/>
  <c r="AB80" i="1"/>
  <c r="AB84" i="1"/>
  <c r="AB82" i="1"/>
  <c r="AB81" i="1"/>
  <c r="AG40" i="1"/>
  <c r="AG49" i="1"/>
  <c r="AG45" i="1"/>
  <c r="AB54" i="1"/>
  <c r="AD54" i="1" s="1"/>
  <c r="C45" i="2"/>
  <c r="C35" i="2"/>
  <c r="C31" i="2"/>
  <c r="C36" i="2"/>
  <c r="C37" i="2"/>
  <c r="C32" i="2"/>
  <c r="C33" i="2"/>
  <c r="C44" i="2"/>
  <c r="AF54" i="1"/>
  <c r="C34" i="2"/>
  <c r="C39" i="2"/>
  <c r="AB53" i="1"/>
  <c r="AD53" i="1" s="1"/>
  <c r="AG53" i="1"/>
  <c r="C43" i="2"/>
  <c r="C41" i="2"/>
  <c r="C42" i="2"/>
  <c r="AJ12" i="1"/>
  <c r="AJ13" i="1"/>
  <c r="AJ14" i="1"/>
  <c r="AF51" i="1"/>
  <c r="C38" i="2"/>
  <c r="AB52" i="1"/>
  <c r="AD52" i="1" s="1"/>
  <c r="AF42" i="1"/>
  <c r="AF40" i="1"/>
  <c r="AB44" i="1"/>
  <c r="AD44" i="1" s="1"/>
  <c r="AF44" i="1"/>
  <c r="AF43" i="1"/>
  <c r="AB47" i="1"/>
  <c r="AD47" i="1" s="1"/>
  <c r="AB42" i="1"/>
  <c r="AD42" i="1" s="1"/>
  <c r="AB51" i="1"/>
  <c r="AD51" i="1" s="1"/>
  <c r="AF41" i="1"/>
  <c r="AB40" i="1"/>
  <c r="AD40" i="1" s="1"/>
  <c r="N4" i="1"/>
  <c r="N7" i="1"/>
  <c r="N25" i="1"/>
  <c r="N21" i="1"/>
  <c r="N17" i="1"/>
  <c r="N13" i="1"/>
  <c r="H75" i="1"/>
  <c r="N8" i="1"/>
  <c r="N26" i="1"/>
  <c r="N22" i="1"/>
  <c r="N18" i="1"/>
  <c r="N14" i="1"/>
  <c r="M35" i="1"/>
  <c r="AB45" i="1"/>
  <c r="AD45" i="1" s="1"/>
  <c r="AB41" i="1"/>
  <c r="AD41" i="1" s="1"/>
  <c r="N9" i="1"/>
  <c r="N5" i="1"/>
  <c r="N23" i="1"/>
  <c r="N19" i="1"/>
  <c r="N15" i="1"/>
  <c r="N11" i="1"/>
  <c r="P35" i="1"/>
  <c r="AF45" i="1"/>
  <c r="AB43" i="1"/>
  <c r="AD43" i="1" s="1"/>
  <c r="N10" i="1"/>
  <c r="N6" i="1"/>
  <c r="N24" i="1"/>
  <c r="N20" i="1"/>
  <c r="N16" i="1"/>
  <c r="N12" i="1"/>
  <c r="P34" i="1"/>
  <c r="O39" i="1"/>
  <c r="N35" i="1"/>
  <c r="N33" i="1"/>
  <c r="N34" i="1"/>
  <c r="O33" i="1"/>
  <c r="S35" i="1" s="1"/>
  <c r="O47" i="1"/>
  <c r="P33" i="1"/>
  <c r="N75" i="1"/>
  <c r="M33" i="1"/>
  <c r="M34" i="1"/>
  <c r="M46" i="1"/>
  <c r="N32" i="1"/>
  <c r="N28" i="1"/>
  <c r="N50" i="1"/>
  <c r="N46" i="1"/>
  <c r="N42" i="1"/>
  <c r="N38" i="1"/>
  <c r="M36" i="1"/>
  <c r="N29" i="1"/>
  <c r="N51" i="1"/>
  <c r="N47" i="1"/>
  <c r="N43" i="1"/>
  <c r="N39" i="1"/>
  <c r="O51" i="1"/>
  <c r="M50" i="1"/>
  <c r="O43" i="1"/>
  <c r="N30" i="1"/>
  <c r="N52" i="1"/>
  <c r="N48" i="1"/>
  <c r="N44" i="1"/>
  <c r="N40" i="1"/>
  <c r="N36" i="1"/>
  <c r="P48" i="1"/>
  <c r="P40" i="1"/>
  <c r="N31" i="1"/>
  <c r="N27" i="1"/>
  <c r="N49" i="1"/>
  <c r="N45" i="1"/>
  <c r="N41" i="1"/>
  <c r="N37" i="1"/>
  <c r="M32" i="1"/>
  <c r="AF50" i="1"/>
  <c r="AB50" i="1"/>
  <c r="AD50" i="1" s="1"/>
  <c r="M28" i="1"/>
  <c r="AF48" i="1"/>
  <c r="AF49" i="1"/>
  <c r="AB49" i="1"/>
  <c r="AD49" i="1" s="1"/>
  <c r="P30" i="1"/>
  <c r="O52" i="1"/>
  <c r="O48" i="1"/>
  <c r="O44" i="1"/>
  <c r="O36" i="1"/>
  <c r="AB46" i="1"/>
  <c r="AD46" i="1" s="1"/>
  <c r="M30" i="1"/>
  <c r="M29" i="1"/>
  <c r="M42" i="1"/>
  <c r="M38" i="1"/>
  <c r="O29" i="1"/>
  <c r="S31" i="1" s="1"/>
  <c r="AB48" i="1"/>
  <c r="AD48" i="1" s="1"/>
  <c r="M51" i="1"/>
  <c r="P49" i="1"/>
  <c r="M47" i="1"/>
  <c r="P45" i="1"/>
  <c r="M43" i="1"/>
  <c r="P41" i="1"/>
  <c r="M39" i="1"/>
  <c r="P37" i="1"/>
  <c r="O50" i="1"/>
  <c r="M49" i="1"/>
  <c r="O46" i="1"/>
  <c r="M45" i="1"/>
  <c r="O42" i="1"/>
  <c r="M41" i="1"/>
  <c r="O38" i="1"/>
  <c r="M37" i="1"/>
  <c r="M52" i="1"/>
  <c r="M48" i="1"/>
  <c r="M44" i="1"/>
  <c r="M40" i="1"/>
  <c r="AF47" i="1"/>
  <c r="P31" i="1"/>
  <c r="P27" i="1"/>
  <c r="O32" i="1"/>
  <c r="M31" i="1"/>
  <c r="O28" i="1"/>
  <c r="M27" i="1"/>
  <c r="O23" i="1"/>
  <c r="AF46" i="1"/>
  <c r="P21" i="1"/>
  <c r="P18" i="1"/>
  <c r="M18" i="1"/>
  <c r="O6" i="1"/>
  <c r="M12" i="1"/>
  <c r="M8" i="1"/>
  <c r="M6" i="1"/>
  <c r="M10" i="1"/>
  <c r="M14" i="1"/>
  <c r="M24" i="1"/>
  <c r="M20" i="1"/>
  <c r="M9" i="1"/>
  <c r="M13" i="1"/>
  <c r="M25" i="1"/>
  <c r="M21" i="1"/>
  <c r="M7" i="1"/>
  <c r="M26" i="1"/>
  <c r="M22" i="1"/>
  <c r="M11" i="1"/>
  <c r="M15" i="1"/>
  <c r="M23" i="1"/>
  <c r="M19" i="1"/>
  <c r="M16" i="1"/>
  <c r="M17" i="1"/>
  <c r="P26" i="1"/>
  <c r="P19" i="1"/>
  <c r="P22" i="1"/>
  <c r="P14" i="1"/>
  <c r="P23" i="1"/>
  <c r="P15" i="1"/>
  <c r="O7" i="1"/>
  <c r="O5" i="1"/>
  <c r="P4" i="1"/>
  <c r="P11" i="1"/>
  <c r="P10" i="1"/>
  <c r="O20" i="1"/>
  <c r="O16" i="1"/>
  <c r="O12" i="1"/>
  <c r="P24" i="1"/>
  <c r="O25" i="1"/>
  <c r="S27" i="1" s="1"/>
  <c r="O21" i="1"/>
  <c r="O17" i="1"/>
  <c r="S19" i="1" s="1"/>
  <c r="O13" i="1"/>
  <c r="S15" i="1" s="1"/>
  <c r="O8" i="1"/>
  <c r="O4" i="1"/>
  <c r="O9" i="1"/>
  <c r="S11" i="1" s="1"/>
  <c r="Q69" i="1" l="1"/>
  <c r="Q72" i="1"/>
  <c r="Q73" i="1"/>
  <c r="Q63" i="1"/>
  <c r="Q64" i="1"/>
  <c r="Q68" i="1"/>
  <c r="S70" i="1" s="1"/>
  <c r="Q66" i="1"/>
  <c r="S68" i="1" s="1"/>
  <c r="Q70" i="1"/>
  <c r="Q74" i="1"/>
  <c r="Q65" i="1"/>
  <c r="S67" i="1" s="1"/>
  <c r="Q71" i="1"/>
  <c r="S73" i="1" s="1"/>
  <c r="Q67" i="1"/>
  <c r="S69" i="1" s="1"/>
  <c r="R63" i="1"/>
  <c r="R69" i="1"/>
  <c r="R73" i="1"/>
  <c r="R74" i="1"/>
  <c r="R67" i="1"/>
  <c r="R68" i="1"/>
  <c r="R71" i="1"/>
  <c r="R64" i="1"/>
  <c r="R70" i="1"/>
  <c r="R65" i="1"/>
  <c r="R66" i="1"/>
  <c r="R72" i="1"/>
  <c r="AG12" i="1"/>
  <c r="AC6" i="1"/>
  <c r="AG6" i="1" s="1"/>
  <c r="AB13" i="1"/>
  <c r="AB96" i="1"/>
  <c r="S30" i="1"/>
  <c r="S39" i="1"/>
  <c r="Q59" i="1"/>
  <c r="Q55" i="1"/>
  <c r="Q60" i="1"/>
  <c r="Q57" i="1"/>
  <c r="Q58" i="1"/>
  <c r="Q53" i="1"/>
  <c r="Q54" i="1"/>
  <c r="Q61" i="1"/>
  <c r="Q62" i="1"/>
  <c r="S64" i="1" s="1"/>
  <c r="Q56" i="1"/>
  <c r="R55" i="1"/>
  <c r="R59" i="1"/>
  <c r="R56" i="1"/>
  <c r="R60" i="1"/>
  <c r="R53" i="1"/>
  <c r="R57" i="1"/>
  <c r="R61" i="1"/>
  <c r="R54" i="1"/>
  <c r="R58" i="1"/>
  <c r="R62" i="1"/>
  <c r="S34" i="1"/>
  <c r="S22" i="1"/>
  <c r="S23" i="1"/>
  <c r="O75" i="1"/>
  <c r="Q75" i="1" s="1"/>
  <c r="D63" i="2"/>
  <c r="S14" i="1"/>
  <c r="G36" i="2"/>
  <c r="G37" i="2" s="1"/>
  <c r="E31" i="2"/>
  <c r="C3" i="3"/>
  <c r="C6" i="3" s="1"/>
  <c r="C22" i="6"/>
  <c r="C23" i="6" s="1"/>
  <c r="AA8" i="1"/>
  <c r="AA10" i="1" s="1"/>
  <c r="C10" i="6"/>
  <c r="C11" i="6" s="1"/>
  <c r="L75" i="1"/>
  <c r="C63" i="2"/>
  <c r="S7" i="1"/>
  <c r="S38" i="1"/>
  <c r="S10" i="1"/>
  <c r="S8" i="1"/>
  <c r="S32" i="1"/>
  <c r="S21" i="1"/>
  <c r="S33" i="1"/>
  <c r="S12" i="1"/>
  <c r="S18" i="1"/>
  <c r="S25" i="1"/>
  <c r="S37" i="1"/>
  <c r="S28" i="1"/>
  <c r="S29" i="1"/>
  <c r="S24" i="1"/>
  <c r="S20" i="1"/>
  <c r="S16" i="1"/>
  <c r="S17" i="1"/>
  <c r="S9" i="1"/>
  <c r="S26" i="1"/>
  <c r="S36" i="1"/>
  <c r="S13" i="1"/>
  <c r="S6" i="1"/>
  <c r="R5" i="1"/>
  <c r="R9" i="1"/>
  <c r="R13" i="1"/>
  <c r="R17" i="1"/>
  <c r="R21" i="1"/>
  <c r="R25" i="1"/>
  <c r="R8" i="1"/>
  <c r="R12" i="1"/>
  <c r="R16" i="1"/>
  <c r="R20" i="1"/>
  <c r="R24" i="1"/>
  <c r="R7" i="1"/>
  <c r="R11" i="1"/>
  <c r="R15" i="1"/>
  <c r="R19" i="1"/>
  <c r="R23" i="1"/>
  <c r="R4" i="1"/>
  <c r="R6" i="1"/>
  <c r="R10" i="1"/>
  <c r="R14" i="1"/>
  <c r="R18" i="1"/>
  <c r="R22" i="1"/>
  <c r="R26" i="1"/>
  <c r="Q35" i="1"/>
  <c r="R33" i="1"/>
  <c r="Q33" i="1"/>
  <c r="R38" i="1"/>
  <c r="R42" i="1"/>
  <c r="R46" i="1"/>
  <c r="R50" i="1"/>
  <c r="R30" i="1"/>
  <c r="R37" i="1"/>
  <c r="R41" i="1"/>
  <c r="R45" i="1"/>
  <c r="R49" i="1"/>
  <c r="R29" i="1"/>
  <c r="R75" i="1"/>
  <c r="R36" i="1"/>
  <c r="R40" i="1"/>
  <c r="R44" i="1"/>
  <c r="R48" i="1"/>
  <c r="R52" i="1"/>
  <c r="R28" i="1"/>
  <c r="R32" i="1"/>
  <c r="R35" i="1"/>
  <c r="R39" i="1"/>
  <c r="R43" i="1"/>
  <c r="R47" i="1"/>
  <c r="R51" i="1"/>
  <c r="R27" i="1"/>
  <c r="R31" i="1"/>
  <c r="Q34" i="1"/>
  <c r="R34" i="1"/>
  <c r="Q27" i="1"/>
  <c r="Q47" i="1"/>
  <c r="Q31" i="1"/>
  <c r="Q42" i="1"/>
  <c r="Q49" i="1"/>
  <c r="Q44" i="1"/>
  <c r="Q51" i="1"/>
  <c r="Q46" i="1"/>
  <c r="Q37" i="1"/>
  <c r="Q48" i="1"/>
  <c r="Q39" i="1"/>
  <c r="Q50" i="1"/>
  <c r="Q41" i="1"/>
  <c r="Q52" i="1"/>
  <c r="Q36" i="1"/>
  <c r="Q43" i="1"/>
  <c r="Q38" i="1"/>
  <c r="Q45" i="1"/>
  <c r="Q40" i="1"/>
  <c r="Q28" i="1"/>
  <c r="Q29" i="1"/>
  <c r="Q32" i="1"/>
  <c r="Q30" i="1"/>
  <c r="Q18" i="1"/>
  <c r="Q22" i="1"/>
  <c r="Q26" i="1"/>
  <c r="Q17" i="1"/>
  <c r="Q21" i="1"/>
  <c r="Q25" i="1"/>
  <c r="Q16" i="1"/>
  <c r="Q20" i="1"/>
  <c r="Q24" i="1"/>
  <c r="Q15" i="1"/>
  <c r="Q19" i="1"/>
  <c r="Q23" i="1"/>
  <c r="Q14" i="1"/>
  <c r="Q13" i="1"/>
  <c r="Q12" i="1"/>
  <c r="Q5" i="1"/>
  <c r="Q9" i="1"/>
  <c r="Q8" i="1"/>
  <c r="Q4" i="1"/>
  <c r="Q10" i="1"/>
  <c r="Q11" i="1"/>
  <c r="Q7" i="1"/>
  <c r="Q6" i="1"/>
  <c r="S72" i="1" l="1"/>
  <c r="S63" i="1"/>
  <c r="S66" i="1"/>
  <c r="S65" i="1"/>
  <c r="S74" i="1"/>
  <c r="S71" i="1"/>
  <c r="S62" i="1"/>
  <c r="C7" i="3"/>
  <c r="C9" i="3" s="1"/>
  <c r="C10" i="3" s="1"/>
  <c r="C12" i="3"/>
  <c r="S61" i="1"/>
  <c r="S60" i="1"/>
  <c r="S57" i="1"/>
  <c r="S55" i="1"/>
  <c r="S54" i="1"/>
  <c r="S58" i="1"/>
  <c r="S53" i="1"/>
  <c r="S59" i="1"/>
  <c r="S56" i="1"/>
  <c r="G38" i="2"/>
  <c r="G39" i="2" s="1"/>
  <c r="G40" i="2" s="1"/>
  <c r="G41" i="2" s="1"/>
  <c r="G42" i="2" s="1"/>
  <c r="G43" i="2" s="1"/>
  <c r="G44" i="2" s="1"/>
  <c r="G45" i="2" s="1"/>
  <c r="E32" i="2"/>
  <c r="AE8" i="1"/>
  <c r="C14" i="6"/>
  <c r="AG8" i="1"/>
  <c r="C15" i="6"/>
  <c r="S47" i="1"/>
  <c r="S42" i="1"/>
  <c r="S45" i="1"/>
  <c r="S50" i="1"/>
  <c r="S44" i="1"/>
  <c r="S49" i="1"/>
  <c r="S43" i="1"/>
  <c r="S48" i="1"/>
  <c r="S51" i="1"/>
  <c r="S40" i="1"/>
  <c r="S41" i="1"/>
  <c r="S46" i="1"/>
  <c r="S52" i="1"/>
  <c r="AC8" i="1"/>
  <c r="AC10" i="1" s="1"/>
  <c r="C8" i="3" l="1"/>
  <c r="G46" i="2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E33" i="2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</author>
  </authors>
  <commentList>
    <comment ref="K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Andrew:</t>
        </r>
        <r>
          <rPr>
            <sz val="9"/>
            <color indexed="81"/>
            <rFont val="Tahoma"/>
            <family val="2"/>
          </rPr>
          <t xml:space="preserve">
Used average instead of calculated. See comment.</t>
        </r>
      </text>
    </comment>
  </commentList>
</comments>
</file>

<file path=xl/sharedStrings.xml><?xml version="1.0" encoding="utf-8"?>
<sst xmlns="http://schemas.openxmlformats.org/spreadsheetml/2006/main" count="305" uniqueCount="137">
  <si>
    <t>Date</t>
  </si>
  <si>
    <t>Miles</t>
  </si>
  <si>
    <t>Litres</t>
  </si>
  <si>
    <t>Total Cost</t>
  </si>
  <si>
    <t>-</t>
  </si>
  <si>
    <t>Cost
(Tank)</t>
  </si>
  <si>
    <t>Total Litres</t>
  </si>
  <si>
    <t>Cost
(Ltr)</t>
  </si>
  <si>
    <t>ODO Start</t>
  </si>
  <si>
    <t>mi</t>
  </si>
  <si>
    <t>Cost per mile (Pence)</t>
  </si>
  <si>
    <t>Odometer</t>
  </si>
  <si>
    <t>Service due in</t>
  </si>
  <si>
    <t>Total Miles</t>
  </si>
  <si>
    <t>ODO</t>
  </si>
  <si>
    <t>ODO
(appr.)</t>
  </si>
  <si>
    <t>Month</t>
  </si>
  <si>
    <t>Mileage</t>
  </si>
  <si>
    <t>Service Mileage</t>
  </si>
  <si>
    <t>Jul-16</t>
  </si>
  <si>
    <t>Aug-16</t>
  </si>
  <si>
    <t>Sept-16</t>
  </si>
  <si>
    <t>Oct-16</t>
  </si>
  <si>
    <t>Nov-16</t>
  </si>
  <si>
    <t>Dec-16</t>
  </si>
  <si>
    <t>Jan-17</t>
  </si>
  <si>
    <t>Feb-17</t>
  </si>
  <si>
    <t>Mar-17</t>
  </si>
  <si>
    <t>Apr-17</t>
  </si>
  <si>
    <t>Apr-18</t>
  </si>
  <si>
    <t>Mar-18</t>
  </si>
  <si>
    <t>May-17</t>
  </si>
  <si>
    <t>Jun-17</t>
  </si>
  <si>
    <t>Jul-17</t>
  </si>
  <si>
    <t>Sept-17</t>
  </si>
  <si>
    <t>Aug-17</t>
  </si>
  <si>
    <t>Oct-17</t>
  </si>
  <si>
    <t>Nov-17</t>
  </si>
  <si>
    <t>Dec-17</t>
  </si>
  <si>
    <t>Jan-18</t>
  </si>
  <si>
    <t>Feb-18</t>
  </si>
  <si>
    <t>Servicing</t>
  </si>
  <si>
    <t>miles</t>
  </si>
  <si>
    <t>Service due by</t>
  </si>
  <si>
    <t>Cost</t>
  </si>
  <si>
    <t>Battery</t>
  </si>
  <si>
    <t>Wipers</t>
  </si>
  <si>
    <t>p</t>
  </si>
  <si>
    <t>MPG Total</t>
  </si>
  <si>
    <t>Avg MPG per month</t>
  </si>
  <si>
    <t>Monthly fills</t>
  </si>
  <si>
    <t>Total Temp</t>
  </si>
  <si>
    <t>Avg Temp</t>
  </si>
  <si>
    <t>MOT</t>
  </si>
  <si>
    <t xml:space="preserve">                                 CT200h Fuel Tracker</t>
  </si>
  <si>
    <t>2x Tyres</t>
  </si>
  <si>
    <t>Tmp Low</t>
  </si>
  <si>
    <t>Tmp
High</t>
  </si>
  <si>
    <t>Tmp Avg</t>
  </si>
  <si>
    <t>MPG (act)</t>
  </si>
  <si>
    <t>Discr (LTA)</t>
  </si>
  <si>
    <t>Discr (3TA)</t>
  </si>
  <si>
    <t>Totals</t>
  </si>
  <si>
    <t>MPG Disp LTA</t>
  </si>
  <si>
    <t>MPG Act LTA</t>
  </si>
  <si>
    <t>MPG (dis LTA)</t>
  </si>
  <si>
    <t>MPG (act 3TA)</t>
  </si>
  <si>
    <t>MPG (act LTA)</t>
  </si>
  <si>
    <t>Disc (act)</t>
  </si>
  <si>
    <t>Disc % (act)</t>
  </si>
  <si>
    <t>MPG (disp)</t>
  </si>
  <si>
    <t>Best/Worst MPG</t>
  </si>
  <si>
    <t>Min</t>
  </si>
  <si>
    <t>Max</t>
  </si>
  <si>
    <t>Median</t>
  </si>
  <si>
    <t>Lifetime Discrepancy</t>
  </si>
  <si>
    <t>Lifetime Discrepancy %</t>
  </si>
  <si>
    <t>Fuel Cost</t>
  </si>
  <si>
    <t>Average</t>
  </si>
  <si>
    <t>Wheel Tracking</t>
  </si>
  <si>
    <t>Part/Repairs</t>
  </si>
  <si>
    <t>Full Service (40k/4yr)</t>
  </si>
  <si>
    <t>Odometer (approx)</t>
  </si>
  <si>
    <t>Initial Cost</t>
  </si>
  <si>
    <t>(13995 minus part ex.)</t>
  </si>
  <si>
    <t>Ownership time</t>
  </si>
  <si>
    <t>Parts/Repairs Cost</t>
  </si>
  <si>
    <t>Total</t>
  </si>
  <si>
    <t>Monthly cost to date</t>
  </si>
  <si>
    <t>years</t>
  </si>
  <si>
    <t>of rated 
68.9 mpg</t>
  </si>
  <si>
    <t>Yearly Cost to date</t>
  </si>
  <si>
    <t>Daily cost to date</t>
  </si>
  <si>
    <t>Weekly cost to date</t>
  </si>
  <si>
    <t>Temp(3TA)</t>
  </si>
  <si>
    <t>% rated MPG (act)</t>
  </si>
  <si>
    <t>Fuel cost</t>
  </si>
  <si>
    <t>Average/month</t>
  </si>
  <si>
    <t>Avg Monthly Miles</t>
  </si>
  <si>
    <t>MPG</t>
  </si>
  <si>
    <t>Actual Lifetime Average</t>
  </si>
  <si>
    <t>Displayed Lifetime Average</t>
  </si>
  <si>
    <t>Total miles driven by me</t>
  </si>
  <si>
    <t>Fuel</t>
  </si>
  <si>
    <t>Cost Per Mile</t>
  </si>
  <si>
    <t>Best</t>
  </si>
  <si>
    <t>Worst</t>
  </si>
  <si>
    <t>L</t>
  </si>
  <si>
    <t>Distance</t>
  </si>
  <si>
    <t>%</t>
  </si>
  <si>
    <t>mpg</t>
  </si>
  <si>
    <t>Inputs</t>
  </si>
  <si>
    <t>Starting Odometer</t>
  </si>
  <si>
    <t>Rated MPG</t>
  </si>
  <si>
    <t>Next Service Due</t>
  </si>
  <si>
    <t>Next Service Mileage</t>
  </si>
  <si>
    <t>Actual Lifetime Rated %</t>
  </si>
  <si>
    <t>Displayed Lifetime Rated %</t>
  </si>
  <si>
    <t>Average Miles/Month</t>
  </si>
  <si>
    <t>miles/mth</t>
  </si>
  <si>
    <t>6mth Rolling Estimate</t>
  </si>
  <si>
    <t>Fuel-ups</t>
  </si>
  <si>
    <t>May-18</t>
  </si>
  <si>
    <t>Jun-18</t>
  </si>
  <si>
    <t>Jul-18</t>
  </si>
  <si>
    <t>Aug-18</t>
  </si>
  <si>
    <t>Sept-18</t>
  </si>
  <si>
    <t>Oct-18</t>
  </si>
  <si>
    <t>Nob-18</t>
  </si>
  <si>
    <t>Dec-18</t>
  </si>
  <si>
    <t>Jan-19</t>
  </si>
  <si>
    <t>Feb-19</t>
  </si>
  <si>
    <t>Mar-19</t>
  </si>
  <si>
    <t>Service</t>
  </si>
  <si>
    <t>Years ownership required for £250/month</t>
  </si>
  <si>
    <t>Rear Wiper</t>
  </si>
  <si>
    <t>Extended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</si>
</sst>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£&quot;* #,##0.00_-;\-&quot;£&quot;* #,##0.00_-;_-&quot;£&quot;* &quot;-&quot;??_-;_-@_-"/>
    <numFmt numFmtId="164" formatCode="0.000"/>
    <numFmt numFmtId="165" formatCode="0.0"/>
    <numFmt numFmtId="166" formatCode="&quot;£&quot;#,##0.00"/>
    <numFmt numFmtId="167" formatCode="&quot;£&quot;#,##0.000"/>
    <numFmt numFmtId="168" formatCode="[Red]\-0.##;\+0.##"/>
    <numFmt numFmtId="169" formatCode="0.0%"/>
    <numFmt numFmtId="170" formatCode="dd/mm/yy;@"/>
    <numFmt numFmtId="171" formatCode="&quot;£&quot;#,##0"/>
    <numFmt numFmtId="172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1" xfId="0" applyBorder="1"/>
    <xf numFmtId="44" fontId="3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69" fontId="6" fillId="0" borderId="1" xfId="1" applyNumberFormat="1" applyFont="1" applyBorder="1" applyAlignment="1">
      <alignment horizontal="center" vertical="center"/>
    </xf>
    <xf numFmtId="169" fontId="6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9" fontId="7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70" fontId="6" fillId="2" borderId="1" xfId="0" applyNumberFormat="1" applyFont="1" applyFill="1" applyBorder="1" applyAlignment="1">
      <alignment horizontal="center" vertical="center"/>
    </xf>
    <xf numFmtId="170" fontId="13" fillId="2" borderId="1" xfId="0" applyNumberFormat="1" applyFont="1" applyFill="1" applyBorder="1" applyAlignment="1">
      <alignment horizontal="center" vertical="center"/>
    </xf>
    <xf numFmtId="171" fontId="7" fillId="0" borderId="1" xfId="0" applyNumberFormat="1" applyFont="1" applyFill="1" applyBorder="1" applyAlignment="1">
      <alignment horizontal="center" vertical="center"/>
    </xf>
    <xf numFmtId="2" fontId="19" fillId="0" borderId="5" xfId="0" applyNumberFormat="1" applyFont="1" applyBorder="1" applyAlignment="1">
      <alignment vertical="center"/>
    </xf>
    <xf numFmtId="2" fontId="19" fillId="0" borderId="6" xfId="0" applyNumberFormat="1" applyFont="1" applyBorder="1" applyAlignment="1">
      <alignment vertical="center"/>
    </xf>
    <xf numFmtId="2" fontId="19" fillId="0" borderId="9" xfId="0" applyNumberFormat="1" applyFont="1" applyBorder="1" applyAlignment="1">
      <alignment vertical="center"/>
    </xf>
    <xf numFmtId="2" fontId="19" fillId="0" borderId="10" xfId="0" applyNumberFormat="1" applyFont="1" applyBorder="1" applyAlignment="1">
      <alignment vertical="center"/>
    </xf>
    <xf numFmtId="2" fontId="19" fillId="0" borderId="8" xfId="0" applyNumberFormat="1" applyFont="1" applyBorder="1" applyAlignment="1">
      <alignment vertical="center"/>
    </xf>
    <xf numFmtId="2" fontId="14" fillId="0" borderId="7" xfId="0" applyNumberFormat="1" applyFont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6" fontId="0" fillId="0" borderId="1" xfId="0" applyNumberFormat="1" applyBorder="1"/>
    <xf numFmtId="166" fontId="0" fillId="0" borderId="12" xfId="0" applyNumberFormat="1" applyBorder="1"/>
    <xf numFmtId="0" fontId="3" fillId="3" borderId="1" xfId="0" applyFont="1" applyFill="1" applyBorder="1"/>
    <xf numFmtId="0" fontId="3" fillId="3" borderId="16" xfId="0" applyFont="1" applyFill="1" applyBorder="1"/>
    <xf numFmtId="0" fontId="3" fillId="6" borderId="12" xfId="0" applyFont="1" applyFill="1" applyBorder="1"/>
    <xf numFmtId="0" fontId="3" fillId="6" borderId="1" xfId="0" applyFont="1" applyFill="1" applyBorder="1"/>
    <xf numFmtId="2" fontId="0" fillId="0" borderId="16" xfId="0" applyNumberFormat="1" applyBorder="1"/>
    <xf numFmtId="2" fontId="6" fillId="2" borderId="1" xfId="0" applyNumberFormat="1" applyFont="1" applyFill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9" fontId="7" fillId="0" borderId="3" xfId="1" applyFont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0" xfId="0" applyBorder="1" applyAlignment="1">
      <alignment horizontal="left"/>
    </xf>
    <xf numFmtId="0" fontId="0" fillId="0" borderId="18" xfId="0" applyBorder="1"/>
    <xf numFmtId="166" fontId="0" fillId="0" borderId="0" xfId="0" applyNumberFormat="1" applyBorder="1" applyAlignment="1">
      <alignment horizontal="left"/>
    </xf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3" borderId="17" xfId="0" applyFill="1" applyBorder="1"/>
    <xf numFmtId="0" fontId="0" fillId="3" borderId="18" xfId="0" applyFill="1" applyBorder="1"/>
    <xf numFmtId="0" fontId="3" fillId="7" borderId="22" xfId="0" applyFont="1" applyFill="1" applyBorder="1"/>
    <xf numFmtId="0" fontId="0" fillId="7" borderId="23" xfId="0" applyFill="1" applyBorder="1" applyAlignment="1">
      <alignment horizontal="left"/>
    </xf>
    <xf numFmtId="0" fontId="0" fillId="7" borderId="24" xfId="0" applyFill="1" applyBorder="1"/>
    <xf numFmtId="0" fontId="0" fillId="5" borderId="0" xfId="0" applyFill="1" applyBorder="1" applyAlignment="1">
      <alignment horizontal="left"/>
    </xf>
    <xf numFmtId="14" fontId="0" fillId="5" borderId="0" xfId="0" applyNumberFormat="1" applyFont="1" applyFill="1" applyBorder="1" applyAlignment="1">
      <alignment horizontal="left" vertical="center"/>
    </xf>
    <xf numFmtId="3" fontId="0" fillId="5" borderId="0" xfId="0" applyNumberFormat="1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0" fillId="0" borderId="0" xfId="0" applyNumberFormat="1" applyBorder="1" applyAlignment="1">
      <alignment horizontal="left"/>
    </xf>
    <xf numFmtId="172" fontId="0" fillId="0" borderId="0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9" fontId="0" fillId="0" borderId="0" xfId="0" applyNumberFormat="1" applyBorder="1" applyAlignment="1">
      <alignment horizontal="left"/>
    </xf>
    <xf numFmtId="168" fontId="0" fillId="0" borderId="0" xfId="0" applyNumberFormat="1" applyFont="1" applyBorder="1" applyAlignment="1">
      <alignment horizontal="left" vertical="center"/>
    </xf>
    <xf numFmtId="10" fontId="0" fillId="0" borderId="0" xfId="0" applyNumberFormat="1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wrapText="1"/>
    </xf>
    <xf numFmtId="2" fontId="0" fillId="0" borderId="1" xfId="0" applyNumberFormat="1" applyBorder="1" applyAlignment="1">
      <alignment vertic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44" fontId="0" fillId="5" borderId="1" xfId="2" applyFon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44" fontId="0" fillId="8" borderId="1" xfId="2" applyFont="1" applyFill="1" applyBorder="1" applyAlignment="1">
      <alignment horizontal="center"/>
    </xf>
    <xf numFmtId="0" fontId="0" fillId="9" borderId="0" xfId="0" applyFill="1"/>
    <xf numFmtId="0" fontId="2" fillId="9" borderId="0" xfId="0" applyFont="1" applyFill="1"/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6" fontId="0" fillId="9" borderId="1" xfId="2" applyNumberFormat="1" applyFont="1" applyFill="1" applyBorder="1" applyAlignment="1">
      <alignment horizontal="center"/>
    </xf>
    <xf numFmtId="0" fontId="0" fillId="9" borderId="1" xfId="0" applyFill="1" applyBorder="1"/>
    <xf numFmtId="1" fontId="0" fillId="9" borderId="1" xfId="0" applyNumberForma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2" fontId="0" fillId="9" borderId="1" xfId="2" applyNumberFormat="1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left" vertical="center"/>
    </xf>
    <xf numFmtId="44" fontId="0" fillId="9" borderId="1" xfId="0" applyNumberFormat="1" applyFill="1" applyBorder="1"/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68" fontId="9" fillId="0" borderId="5" xfId="0" applyNumberFormat="1" applyFont="1" applyBorder="1" applyAlignment="1">
      <alignment horizontal="center" vertical="center"/>
    </xf>
    <xf numFmtId="168" fontId="9" fillId="0" borderId="6" xfId="0" applyNumberFormat="1" applyFont="1" applyBorder="1" applyAlignment="1">
      <alignment horizontal="center" vertical="center"/>
    </xf>
    <xf numFmtId="168" fontId="9" fillId="0" borderId="7" xfId="0" applyNumberFormat="1" applyFont="1" applyBorder="1" applyAlignment="1">
      <alignment horizontal="center" vertical="center"/>
    </xf>
    <xf numFmtId="168" fontId="9" fillId="0" borderId="8" xfId="0" applyNumberFormat="1" applyFont="1" applyBorder="1" applyAlignment="1">
      <alignment horizontal="center" vertical="center"/>
    </xf>
    <xf numFmtId="168" fontId="9" fillId="0" borderId="9" xfId="0" applyNumberFormat="1" applyFont="1" applyBorder="1" applyAlignment="1">
      <alignment horizontal="center" vertical="center"/>
    </xf>
    <xf numFmtId="168" fontId="9" fillId="0" borderId="10" xfId="0" applyNumberFormat="1" applyFont="1" applyBorder="1" applyAlignment="1">
      <alignment horizontal="center" vertical="center"/>
    </xf>
    <xf numFmtId="10" fontId="9" fillId="0" borderId="5" xfId="1" applyNumberFormat="1" applyFont="1" applyBorder="1" applyAlignment="1">
      <alignment horizontal="center" vertical="center"/>
    </xf>
    <xf numFmtId="10" fontId="9" fillId="0" borderId="6" xfId="1" applyNumberFormat="1" applyFont="1" applyBorder="1" applyAlignment="1">
      <alignment horizontal="center" vertical="center"/>
    </xf>
    <xf numFmtId="10" fontId="9" fillId="0" borderId="7" xfId="1" applyNumberFormat="1" applyFont="1" applyBorder="1" applyAlignment="1">
      <alignment horizontal="center" vertical="center"/>
    </xf>
    <xf numFmtId="10" fontId="9" fillId="0" borderId="8" xfId="1" applyNumberFormat="1" applyFont="1" applyBorder="1" applyAlignment="1">
      <alignment horizontal="center" vertical="center"/>
    </xf>
    <xf numFmtId="10" fontId="9" fillId="0" borderId="9" xfId="1" applyNumberFormat="1" applyFont="1" applyBorder="1" applyAlignment="1">
      <alignment horizontal="center" vertical="center"/>
    </xf>
    <xf numFmtId="10" fontId="9" fillId="0" borderId="10" xfId="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center" vertical="center"/>
    </xf>
    <xf numFmtId="165" fontId="21" fillId="0" borderId="10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165" fontId="20" fillId="0" borderId="6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 vertical="center"/>
    </xf>
    <xf numFmtId="165" fontId="20" fillId="0" borderId="9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/>
    </xf>
    <xf numFmtId="166" fontId="20" fillId="0" borderId="5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0" fillId="0" borderId="7" xfId="0" applyNumberFormat="1" applyFont="1" applyBorder="1" applyAlignment="1">
      <alignment horizontal="center" vertical="center"/>
    </xf>
    <xf numFmtId="166" fontId="20" fillId="0" borderId="8" xfId="0" applyNumberFormat="1" applyFont="1" applyBorder="1" applyAlignment="1">
      <alignment horizontal="center" vertical="center"/>
    </xf>
    <xf numFmtId="166" fontId="20" fillId="0" borderId="9" xfId="0" applyNumberFormat="1" applyFont="1" applyBorder="1" applyAlignment="1">
      <alignment horizontal="center" vertical="center"/>
    </xf>
    <xf numFmtId="166" fontId="20" fillId="0" borderId="1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17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lightDown">
          <f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lightDown">
          <f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lightDown">
          <f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lightDown">
          <fgColor rgb="FFFF0000"/>
        </patternFill>
      </fill>
    </dxf>
  </dxfs>
  <tableStyles count="0" defaultTableStyle="TableStyleMedium9" defaultPivotStyle="PivotStyleLight16"/>
  <colors>
    <mruColors>
      <color rgb="FF3809FF"/>
      <color rgb="FFF8696B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MPG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'2016'!$I$2</c:f>
              <c:strCache>
                <c:ptCount val="1"/>
                <c:pt idx="0">
                  <c:v>MPG (disp)</c:v>
                </c:pt>
              </c:strCache>
            </c:strRef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numRef>
              <c:f>'2016'!$B$4:$B$74</c:f>
              <c:numCache>
                <c:formatCode>dd/mm/yy;@</c:formatCode>
                <c:ptCount val="71"/>
                <c:pt idx="0">
                  <c:v>42567</c:v>
                </c:pt>
                <c:pt idx="1">
                  <c:v>42582</c:v>
                </c:pt>
                <c:pt idx="2">
                  <c:v>42599</c:v>
                </c:pt>
                <c:pt idx="3">
                  <c:v>42607</c:v>
                </c:pt>
                <c:pt idx="4">
                  <c:v>42608</c:v>
                </c:pt>
                <c:pt idx="5">
                  <c:v>42616</c:v>
                </c:pt>
                <c:pt idx="6">
                  <c:v>42634</c:v>
                </c:pt>
                <c:pt idx="7">
                  <c:v>42649</c:v>
                </c:pt>
                <c:pt idx="8">
                  <c:v>42656</c:v>
                </c:pt>
                <c:pt idx="9">
                  <c:v>42660</c:v>
                </c:pt>
                <c:pt idx="10">
                  <c:v>42672</c:v>
                </c:pt>
                <c:pt idx="11">
                  <c:v>42686</c:v>
                </c:pt>
                <c:pt idx="12">
                  <c:v>42700</c:v>
                </c:pt>
                <c:pt idx="13">
                  <c:v>42713</c:v>
                </c:pt>
                <c:pt idx="14">
                  <c:v>42716</c:v>
                </c:pt>
                <c:pt idx="15">
                  <c:v>42733</c:v>
                </c:pt>
                <c:pt idx="16">
                  <c:v>42749</c:v>
                </c:pt>
                <c:pt idx="17">
                  <c:v>42763</c:v>
                </c:pt>
                <c:pt idx="18">
                  <c:v>42780</c:v>
                </c:pt>
                <c:pt idx="19">
                  <c:v>42786</c:v>
                </c:pt>
                <c:pt idx="20">
                  <c:v>42796</c:v>
                </c:pt>
                <c:pt idx="21">
                  <c:v>42799</c:v>
                </c:pt>
                <c:pt idx="22">
                  <c:v>42847</c:v>
                </c:pt>
                <c:pt idx="23">
                  <c:v>42861</c:v>
                </c:pt>
                <c:pt idx="24">
                  <c:v>42876</c:v>
                </c:pt>
                <c:pt idx="25">
                  <c:v>42883</c:v>
                </c:pt>
                <c:pt idx="26">
                  <c:v>42889</c:v>
                </c:pt>
                <c:pt idx="27">
                  <c:v>42916</c:v>
                </c:pt>
                <c:pt idx="28">
                  <c:v>42931</c:v>
                </c:pt>
                <c:pt idx="29">
                  <c:v>42945</c:v>
                </c:pt>
                <c:pt idx="30">
                  <c:v>42959</c:v>
                </c:pt>
                <c:pt idx="31">
                  <c:v>42973</c:v>
                </c:pt>
                <c:pt idx="32">
                  <c:v>42987</c:v>
                </c:pt>
                <c:pt idx="33">
                  <c:v>43001</c:v>
                </c:pt>
                <c:pt idx="34">
                  <c:v>43015</c:v>
                </c:pt>
                <c:pt idx="35">
                  <c:v>43019</c:v>
                </c:pt>
                <c:pt idx="36">
                  <c:v>43024</c:v>
                </c:pt>
                <c:pt idx="37">
                  <c:v>43034</c:v>
                </c:pt>
                <c:pt idx="38">
                  <c:v>43049</c:v>
                </c:pt>
                <c:pt idx="39">
                  <c:v>43063</c:v>
                </c:pt>
                <c:pt idx="40">
                  <c:v>43078</c:v>
                </c:pt>
                <c:pt idx="41">
                  <c:v>43087</c:v>
                </c:pt>
                <c:pt idx="42">
                  <c:v>43095</c:v>
                </c:pt>
                <c:pt idx="43">
                  <c:v>43110</c:v>
                </c:pt>
                <c:pt idx="44">
                  <c:v>43123</c:v>
                </c:pt>
                <c:pt idx="45">
                  <c:v>43134</c:v>
                </c:pt>
                <c:pt idx="46">
                  <c:v>43149</c:v>
                </c:pt>
                <c:pt idx="47">
                  <c:v>43152</c:v>
                </c:pt>
                <c:pt idx="48">
                  <c:v>43157</c:v>
                </c:pt>
                <c:pt idx="49">
                  <c:v>43169</c:v>
                </c:pt>
                <c:pt idx="50">
                  <c:v>43182</c:v>
                </c:pt>
                <c:pt idx="51">
                  <c:v>43189</c:v>
                </c:pt>
                <c:pt idx="52">
                  <c:v>43204</c:v>
                </c:pt>
                <c:pt idx="53">
                  <c:v>43218</c:v>
                </c:pt>
                <c:pt idx="54">
                  <c:v>43232</c:v>
                </c:pt>
                <c:pt idx="55">
                  <c:v>43243</c:v>
                </c:pt>
                <c:pt idx="56">
                  <c:v>43247</c:v>
                </c:pt>
                <c:pt idx="57">
                  <c:v>43248</c:v>
                </c:pt>
                <c:pt idx="58">
                  <c:v>43273</c:v>
                </c:pt>
                <c:pt idx="59">
                  <c:v>43282</c:v>
                </c:pt>
                <c:pt idx="60">
                  <c:v>43290</c:v>
                </c:pt>
                <c:pt idx="61">
                  <c:v>43302</c:v>
                </c:pt>
                <c:pt idx="62">
                  <c:v>43285</c:v>
                </c:pt>
                <c:pt idx="63">
                  <c:v>43286</c:v>
                </c:pt>
                <c:pt idx="64">
                  <c:v>43287</c:v>
                </c:pt>
                <c:pt idx="65">
                  <c:v>43288</c:v>
                </c:pt>
                <c:pt idx="66">
                  <c:v>43289</c:v>
                </c:pt>
                <c:pt idx="67">
                  <c:v>43290</c:v>
                </c:pt>
                <c:pt idx="68">
                  <c:v>43291</c:v>
                </c:pt>
                <c:pt idx="69">
                  <c:v>43292</c:v>
                </c:pt>
                <c:pt idx="70">
                  <c:v>43293</c:v>
                </c:pt>
              </c:numCache>
            </c:numRef>
          </c:cat>
          <c:val>
            <c:numRef>
              <c:f>'2016'!$I$4:$I$74</c:f>
              <c:numCache>
                <c:formatCode>0.0</c:formatCode>
                <c:ptCount val="71"/>
                <c:pt idx="0">
                  <c:v>57.7</c:v>
                </c:pt>
                <c:pt idx="1">
                  <c:v>59.6</c:v>
                </c:pt>
                <c:pt idx="2">
                  <c:v>60.3</c:v>
                </c:pt>
                <c:pt idx="3">
                  <c:v>55.9</c:v>
                </c:pt>
                <c:pt idx="4">
                  <c:v>61.6</c:v>
                </c:pt>
                <c:pt idx="5">
                  <c:v>58.1</c:v>
                </c:pt>
                <c:pt idx="6">
                  <c:v>59.2</c:v>
                </c:pt>
                <c:pt idx="7">
                  <c:v>57.3</c:v>
                </c:pt>
                <c:pt idx="8">
                  <c:v>55</c:v>
                </c:pt>
                <c:pt idx="9">
                  <c:v>57.7</c:v>
                </c:pt>
                <c:pt idx="10">
                  <c:v>57.8</c:v>
                </c:pt>
                <c:pt idx="11">
                  <c:v>55.8</c:v>
                </c:pt>
                <c:pt idx="12">
                  <c:v>54.7</c:v>
                </c:pt>
                <c:pt idx="13">
                  <c:v>55.3</c:v>
                </c:pt>
                <c:pt idx="14">
                  <c:v>57.5</c:v>
                </c:pt>
                <c:pt idx="15">
                  <c:v>53.9</c:v>
                </c:pt>
                <c:pt idx="16">
                  <c:v>55.2</c:v>
                </c:pt>
                <c:pt idx="17">
                  <c:v>55.9</c:v>
                </c:pt>
                <c:pt idx="18">
                  <c:v>55.1</c:v>
                </c:pt>
                <c:pt idx="19">
                  <c:v>55.6</c:v>
                </c:pt>
                <c:pt idx="20">
                  <c:v>56</c:v>
                </c:pt>
                <c:pt idx="21">
                  <c:v>54</c:v>
                </c:pt>
                <c:pt idx="22">
                  <c:v>56.5</c:v>
                </c:pt>
                <c:pt idx="23">
                  <c:v>56.9</c:v>
                </c:pt>
                <c:pt idx="24">
                  <c:v>60</c:v>
                </c:pt>
                <c:pt idx="25">
                  <c:v>58.8</c:v>
                </c:pt>
                <c:pt idx="26">
                  <c:v>58.6</c:v>
                </c:pt>
                <c:pt idx="27">
                  <c:v>60.4</c:v>
                </c:pt>
                <c:pt idx="28">
                  <c:v>56</c:v>
                </c:pt>
                <c:pt idx="29">
                  <c:v>54.5</c:v>
                </c:pt>
                <c:pt idx="30">
                  <c:v>56</c:v>
                </c:pt>
                <c:pt idx="31">
                  <c:v>54.9</c:v>
                </c:pt>
                <c:pt idx="32">
                  <c:v>55</c:v>
                </c:pt>
                <c:pt idx="33">
                  <c:v>53.8</c:v>
                </c:pt>
                <c:pt idx="34">
                  <c:v>53.8</c:v>
                </c:pt>
                <c:pt idx="35">
                  <c:v>53.9</c:v>
                </c:pt>
                <c:pt idx="36">
                  <c:v>58.2</c:v>
                </c:pt>
                <c:pt idx="37">
                  <c:v>54.8</c:v>
                </c:pt>
                <c:pt idx="38">
                  <c:v>55.9</c:v>
                </c:pt>
                <c:pt idx="39">
                  <c:v>53.2</c:v>
                </c:pt>
                <c:pt idx="40">
                  <c:v>52.2</c:v>
                </c:pt>
                <c:pt idx="41">
                  <c:v>52.9</c:v>
                </c:pt>
                <c:pt idx="42">
                  <c:v>54.4</c:v>
                </c:pt>
                <c:pt idx="43">
                  <c:v>51.1</c:v>
                </c:pt>
                <c:pt idx="44">
                  <c:v>51.4</c:v>
                </c:pt>
                <c:pt idx="45">
                  <c:v>55.5</c:v>
                </c:pt>
                <c:pt idx="46">
                  <c:v>52.6</c:v>
                </c:pt>
                <c:pt idx="47">
                  <c:v>52.2</c:v>
                </c:pt>
                <c:pt idx="48">
                  <c:v>54.3</c:v>
                </c:pt>
                <c:pt idx="49">
                  <c:v>51.2</c:v>
                </c:pt>
                <c:pt idx="50">
                  <c:v>53</c:v>
                </c:pt>
                <c:pt idx="51">
                  <c:v>56</c:v>
                </c:pt>
                <c:pt idx="52">
                  <c:v>55.4</c:v>
                </c:pt>
                <c:pt idx="53">
                  <c:v>55.8</c:v>
                </c:pt>
                <c:pt idx="54">
                  <c:v>58.6</c:v>
                </c:pt>
                <c:pt idx="55">
                  <c:v>59.8</c:v>
                </c:pt>
                <c:pt idx="56">
                  <c:v>61.6</c:v>
                </c:pt>
                <c:pt idx="57">
                  <c:v>61.6</c:v>
                </c:pt>
                <c:pt idx="58">
                  <c:v>59.1</c:v>
                </c:pt>
                <c:pt idx="59">
                  <c:v>60.5</c:v>
                </c:pt>
                <c:pt idx="60">
                  <c:v>60.2</c:v>
                </c:pt>
                <c:pt idx="61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5-4A11-A8AD-A9B89A554BD3}"/>
            </c:ext>
          </c:extLst>
        </c:ser>
        <c:ser>
          <c:idx val="0"/>
          <c:order val="1"/>
          <c:tx>
            <c:strRef>
              <c:f>'2016'!$K$2</c:f>
              <c:strCache>
                <c:ptCount val="1"/>
                <c:pt idx="0">
                  <c:v>MPG (act)</c:v>
                </c:pt>
              </c:strCache>
            </c:strRef>
          </c:tx>
          <c:spPr>
            <a:solidFill>
              <a:srgbClr val="00B050">
                <a:alpha val="80000"/>
              </a:srgbClr>
            </a:solidFill>
          </c:spPr>
          <c:invertIfNegative val="0"/>
          <c:cat>
            <c:numRef>
              <c:f>'2016'!$B$4:$B$74</c:f>
              <c:numCache>
                <c:formatCode>dd/mm/yy;@</c:formatCode>
                <c:ptCount val="71"/>
                <c:pt idx="0">
                  <c:v>42567</c:v>
                </c:pt>
                <c:pt idx="1">
                  <c:v>42582</c:v>
                </c:pt>
                <c:pt idx="2">
                  <c:v>42599</c:v>
                </c:pt>
                <c:pt idx="3">
                  <c:v>42607</c:v>
                </c:pt>
                <c:pt idx="4">
                  <c:v>42608</c:v>
                </c:pt>
                <c:pt idx="5">
                  <c:v>42616</c:v>
                </c:pt>
                <c:pt idx="6">
                  <c:v>42634</c:v>
                </c:pt>
                <c:pt idx="7">
                  <c:v>42649</c:v>
                </c:pt>
                <c:pt idx="8">
                  <c:v>42656</c:v>
                </c:pt>
                <c:pt idx="9">
                  <c:v>42660</c:v>
                </c:pt>
                <c:pt idx="10">
                  <c:v>42672</c:v>
                </c:pt>
                <c:pt idx="11">
                  <c:v>42686</c:v>
                </c:pt>
                <c:pt idx="12">
                  <c:v>42700</c:v>
                </c:pt>
                <c:pt idx="13">
                  <c:v>42713</c:v>
                </c:pt>
                <c:pt idx="14">
                  <c:v>42716</c:v>
                </c:pt>
                <c:pt idx="15">
                  <c:v>42733</c:v>
                </c:pt>
                <c:pt idx="16">
                  <c:v>42749</c:v>
                </c:pt>
                <c:pt idx="17">
                  <c:v>42763</c:v>
                </c:pt>
                <c:pt idx="18">
                  <c:v>42780</c:v>
                </c:pt>
                <c:pt idx="19">
                  <c:v>42786</c:v>
                </c:pt>
                <c:pt idx="20">
                  <c:v>42796</c:v>
                </c:pt>
                <c:pt idx="21">
                  <c:v>42799</c:v>
                </c:pt>
                <c:pt idx="22">
                  <c:v>42847</c:v>
                </c:pt>
                <c:pt idx="23">
                  <c:v>42861</c:v>
                </c:pt>
                <c:pt idx="24">
                  <c:v>42876</c:v>
                </c:pt>
                <c:pt idx="25">
                  <c:v>42883</c:v>
                </c:pt>
                <c:pt idx="26">
                  <c:v>42889</c:v>
                </c:pt>
                <c:pt idx="27">
                  <c:v>42916</c:v>
                </c:pt>
                <c:pt idx="28">
                  <c:v>42931</c:v>
                </c:pt>
                <c:pt idx="29">
                  <c:v>42945</c:v>
                </c:pt>
                <c:pt idx="30">
                  <c:v>42959</c:v>
                </c:pt>
                <c:pt idx="31">
                  <c:v>42973</c:v>
                </c:pt>
                <c:pt idx="32">
                  <c:v>42987</c:v>
                </c:pt>
                <c:pt idx="33">
                  <c:v>43001</c:v>
                </c:pt>
                <c:pt idx="34">
                  <c:v>43015</c:v>
                </c:pt>
                <c:pt idx="35">
                  <c:v>43019</c:v>
                </c:pt>
                <c:pt idx="36">
                  <c:v>43024</c:v>
                </c:pt>
                <c:pt idx="37">
                  <c:v>43034</c:v>
                </c:pt>
                <c:pt idx="38">
                  <c:v>43049</c:v>
                </c:pt>
                <c:pt idx="39">
                  <c:v>43063</c:v>
                </c:pt>
                <c:pt idx="40">
                  <c:v>43078</c:v>
                </c:pt>
                <c:pt idx="41">
                  <c:v>43087</c:v>
                </c:pt>
                <c:pt idx="42">
                  <c:v>43095</c:v>
                </c:pt>
                <c:pt idx="43">
                  <c:v>43110</c:v>
                </c:pt>
                <c:pt idx="44">
                  <c:v>43123</c:v>
                </c:pt>
                <c:pt idx="45">
                  <c:v>43134</c:v>
                </c:pt>
                <c:pt idx="46">
                  <c:v>43149</c:v>
                </c:pt>
                <c:pt idx="47">
                  <c:v>43152</c:v>
                </c:pt>
                <c:pt idx="48">
                  <c:v>43157</c:v>
                </c:pt>
                <c:pt idx="49">
                  <c:v>43169</c:v>
                </c:pt>
                <c:pt idx="50">
                  <c:v>43182</c:v>
                </c:pt>
                <c:pt idx="51">
                  <c:v>43189</c:v>
                </c:pt>
                <c:pt idx="52">
                  <c:v>43204</c:v>
                </c:pt>
                <c:pt idx="53">
                  <c:v>43218</c:v>
                </c:pt>
                <c:pt idx="54">
                  <c:v>43232</c:v>
                </c:pt>
                <c:pt idx="55">
                  <c:v>43243</c:v>
                </c:pt>
                <c:pt idx="56">
                  <c:v>43247</c:v>
                </c:pt>
                <c:pt idx="57">
                  <c:v>43248</c:v>
                </c:pt>
                <c:pt idx="58">
                  <c:v>43273</c:v>
                </c:pt>
                <c:pt idx="59">
                  <c:v>43282</c:v>
                </c:pt>
                <c:pt idx="60">
                  <c:v>43290</c:v>
                </c:pt>
                <c:pt idx="61">
                  <c:v>43302</c:v>
                </c:pt>
                <c:pt idx="62">
                  <c:v>43285</c:v>
                </c:pt>
                <c:pt idx="63">
                  <c:v>43286</c:v>
                </c:pt>
                <c:pt idx="64">
                  <c:v>43287</c:v>
                </c:pt>
                <c:pt idx="65">
                  <c:v>43288</c:v>
                </c:pt>
                <c:pt idx="66">
                  <c:v>43289</c:v>
                </c:pt>
                <c:pt idx="67">
                  <c:v>43290</c:v>
                </c:pt>
                <c:pt idx="68">
                  <c:v>43291</c:v>
                </c:pt>
                <c:pt idx="69">
                  <c:v>43292</c:v>
                </c:pt>
                <c:pt idx="70">
                  <c:v>43293</c:v>
                </c:pt>
              </c:numCache>
            </c:numRef>
          </c:cat>
          <c:val>
            <c:numRef>
              <c:f>'2016'!$K$4:$K$74</c:f>
              <c:numCache>
                <c:formatCode>0.0</c:formatCode>
                <c:ptCount val="71"/>
                <c:pt idx="0">
                  <c:v>54.410792363067294</c:v>
                </c:pt>
                <c:pt idx="1">
                  <c:v>56.469748804719039</c:v>
                </c:pt>
                <c:pt idx="2">
                  <c:v>55.084575198637914</c:v>
                </c:pt>
                <c:pt idx="3">
                  <c:v>59.786627512195139</c:v>
                </c:pt>
                <c:pt idx="4">
                  <c:v>61.113084391736798</c:v>
                </c:pt>
                <c:pt idx="5">
                  <c:v>52.464093285055974</c:v>
                </c:pt>
                <c:pt idx="6">
                  <c:v>55.60562970385881</c:v>
                </c:pt>
                <c:pt idx="7">
                  <c:v>52.04988245851677</c:v>
                </c:pt>
                <c:pt idx="8">
                  <c:v>49.981241220893644</c:v>
                </c:pt>
                <c:pt idx="9">
                  <c:v>53.061125986955034</c:v>
                </c:pt>
                <c:pt idx="10">
                  <c:v>53.242783409490336</c:v>
                </c:pt>
                <c:pt idx="11">
                  <c:v>50.971312121212129</c:v>
                </c:pt>
                <c:pt idx="12">
                  <c:v>50.02076139347021</c:v>
                </c:pt>
                <c:pt idx="13">
                  <c:v>50.765604772167499</c:v>
                </c:pt>
                <c:pt idx="14">
                  <c:v>52.740696486686396</c:v>
                </c:pt>
                <c:pt idx="15">
                  <c:v>49.145040214067279</c:v>
                </c:pt>
                <c:pt idx="16">
                  <c:v>49.966575301143578</c:v>
                </c:pt>
                <c:pt idx="17">
                  <c:v>51.36649150267062</c:v>
                </c:pt>
                <c:pt idx="18">
                  <c:v>50.71758518070888</c:v>
                </c:pt>
                <c:pt idx="19">
                  <c:v>51.850020901621626</c:v>
                </c:pt>
                <c:pt idx="20">
                  <c:v>51.7</c:v>
                </c:pt>
                <c:pt idx="21">
                  <c:v>50.846030281332624</c:v>
                </c:pt>
                <c:pt idx="22">
                  <c:v>51.434404073033704</c:v>
                </c:pt>
                <c:pt idx="23">
                  <c:v>52.289607233193273</c:v>
                </c:pt>
                <c:pt idx="24">
                  <c:v>55.154566697246466</c:v>
                </c:pt>
                <c:pt idx="25">
                  <c:v>55.460586889510488</c:v>
                </c:pt>
                <c:pt idx="26">
                  <c:v>52.811231565978943</c:v>
                </c:pt>
                <c:pt idx="27">
                  <c:v>57.203785430222474</c:v>
                </c:pt>
                <c:pt idx="28">
                  <c:v>50.08991813069909</c:v>
                </c:pt>
                <c:pt idx="29">
                  <c:v>50.59558090316925</c:v>
                </c:pt>
                <c:pt idx="30">
                  <c:v>51.728245238177124</c:v>
                </c:pt>
                <c:pt idx="31">
                  <c:v>51.272844289946207</c:v>
                </c:pt>
                <c:pt idx="32">
                  <c:v>51.180195681290314</c:v>
                </c:pt>
                <c:pt idx="33">
                  <c:v>49.602881664409992</c:v>
                </c:pt>
                <c:pt idx="34">
                  <c:v>50.021128977763972</c:v>
                </c:pt>
                <c:pt idx="35">
                  <c:v>49.788360970340669</c:v>
                </c:pt>
                <c:pt idx="36">
                  <c:v>53.633844505590055</c:v>
                </c:pt>
                <c:pt idx="37">
                  <c:v>50.694117712829517</c:v>
                </c:pt>
                <c:pt idx="38">
                  <c:v>51.37474605936962</c:v>
                </c:pt>
                <c:pt idx="39">
                  <c:v>48.995760962460835</c:v>
                </c:pt>
                <c:pt idx="40">
                  <c:v>47.985709898999026</c:v>
                </c:pt>
                <c:pt idx="41">
                  <c:v>48.884753688702929</c:v>
                </c:pt>
                <c:pt idx="42">
                  <c:v>48.936771410953057</c:v>
                </c:pt>
                <c:pt idx="43">
                  <c:v>47.341425420885159</c:v>
                </c:pt>
                <c:pt idx="44">
                  <c:v>47.510329699299426</c:v>
                </c:pt>
                <c:pt idx="45">
                  <c:v>50.469169068772779</c:v>
                </c:pt>
                <c:pt idx="46">
                  <c:v>48.421774030201725</c:v>
                </c:pt>
                <c:pt idx="47">
                  <c:v>49.034890403773595</c:v>
                </c:pt>
                <c:pt idx="48">
                  <c:v>50.078942513544298</c:v>
                </c:pt>
                <c:pt idx="49">
                  <c:v>47.264327149090903</c:v>
                </c:pt>
                <c:pt idx="50">
                  <c:v>49.288434866709672</c:v>
                </c:pt>
                <c:pt idx="51">
                  <c:v>52.192004625193682</c:v>
                </c:pt>
                <c:pt idx="52">
                  <c:v>51.925604534935616</c:v>
                </c:pt>
                <c:pt idx="53">
                  <c:v>51.716440324250676</c:v>
                </c:pt>
                <c:pt idx="54">
                  <c:v>54.38420750563467</c:v>
                </c:pt>
                <c:pt idx="55">
                  <c:v>55.746806947662982</c:v>
                </c:pt>
                <c:pt idx="56">
                  <c:v>57.769115156331871</c:v>
                </c:pt>
                <c:pt idx="57">
                  <c:v>58.835500015406026</c:v>
                </c:pt>
                <c:pt idx="58">
                  <c:v>54.193826128169015</c:v>
                </c:pt>
                <c:pt idx="59">
                  <c:v>56.229535574316706</c:v>
                </c:pt>
                <c:pt idx="60">
                  <c:v>57.024904504292529</c:v>
                </c:pt>
                <c:pt idx="61">
                  <c:v>54.733400821529735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5-4A11-A8AD-A9B89A554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7887616"/>
        <c:axId val="127897600"/>
      </c:barChart>
      <c:lineChart>
        <c:grouping val="standard"/>
        <c:varyColors val="0"/>
        <c:ser>
          <c:idx val="2"/>
          <c:order val="2"/>
          <c:tx>
            <c:strRef>
              <c:f>'2016'!$M$2</c:f>
              <c:strCache>
                <c:ptCount val="1"/>
                <c:pt idx="0">
                  <c:v>MPG (act 3TA)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'2016'!$B$3:$B$40</c:f>
              <c:numCache>
                <c:formatCode>dd/mm/yy;@</c:formatCode>
                <c:ptCount val="38"/>
                <c:pt idx="0">
                  <c:v>42554</c:v>
                </c:pt>
                <c:pt idx="1">
                  <c:v>42567</c:v>
                </c:pt>
                <c:pt idx="2">
                  <c:v>42582</c:v>
                </c:pt>
                <c:pt idx="3">
                  <c:v>42599</c:v>
                </c:pt>
                <c:pt idx="4">
                  <c:v>42607</c:v>
                </c:pt>
                <c:pt idx="5">
                  <c:v>42608</c:v>
                </c:pt>
                <c:pt idx="6">
                  <c:v>42616</c:v>
                </c:pt>
                <c:pt idx="7">
                  <c:v>42634</c:v>
                </c:pt>
                <c:pt idx="8">
                  <c:v>42649</c:v>
                </c:pt>
                <c:pt idx="9">
                  <c:v>42656</c:v>
                </c:pt>
                <c:pt idx="10">
                  <c:v>42660</c:v>
                </c:pt>
                <c:pt idx="11">
                  <c:v>42672</c:v>
                </c:pt>
                <c:pt idx="12">
                  <c:v>42686</c:v>
                </c:pt>
                <c:pt idx="13">
                  <c:v>42700</c:v>
                </c:pt>
                <c:pt idx="14">
                  <c:v>42713</c:v>
                </c:pt>
                <c:pt idx="15">
                  <c:v>42716</c:v>
                </c:pt>
                <c:pt idx="16">
                  <c:v>42733</c:v>
                </c:pt>
                <c:pt idx="17">
                  <c:v>42749</c:v>
                </c:pt>
                <c:pt idx="18">
                  <c:v>42763</c:v>
                </c:pt>
                <c:pt idx="19">
                  <c:v>42780</c:v>
                </c:pt>
                <c:pt idx="20">
                  <c:v>42786</c:v>
                </c:pt>
                <c:pt idx="21">
                  <c:v>42796</c:v>
                </c:pt>
                <c:pt idx="22">
                  <c:v>42799</c:v>
                </c:pt>
                <c:pt idx="23">
                  <c:v>42847</c:v>
                </c:pt>
                <c:pt idx="24">
                  <c:v>42861</c:v>
                </c:pt>
                <c:pt idx="25">
                  <c:v>42876</c:v>
                </c:pt>
                <c:pt idx="26">
                  <c:v>42883</c:v>
                </c:pt>
                <c:pt idx="27">
                  <c:v>42889</c:v>
                </c:pt>
                <c:pt idx="28">
                  <c:v>42916</c:v>
                </c:pt>
                <c:pt idx="29">
                  <c:v>42931</c:v>
                </c:pt>
                <c:pt idx="30">
                  <c:v>42945</c:v>
                </c:pt>
                <c:pt idx="31">
                  <c:v>42959</c:v>
                </c:pt>
                <c:pt idx="32">
                  <c:v>42973</c:v>
                </c:pt>
                <c:pt idx="33">
                  <c:v>42987</c:v>
                </c:pt>
                <c:pt idx="34">
                  <c:v>43001</c:v>
                </c:pt>
                <c:pt idx="35">
                  <c:v>43015</c:v>
                </c:pt>
                <c:pt idx="36">
                  <c:v>43019</c:v>
                </c:pt>
                <c:pt idx="37">
                  <c:v>43024</c:v>
                </c:pt>
              </c:numCache>
            </c:numRef>
          </c:cat>
          <c:val>
            <c:numRef>
              <c:f>'2016'!$M$4:$M$74</c:f>
              <c:numCache>
                <c:formatCode>0.0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55.321705455474749</c:v>
                </c:pt>
                <c:pt idx="3">
                  <c:v>57.113650505184033</c:v>
                </c:pt>
                <c:pt idx="4">
                  <c:v>58.66142903418995</c:v>
                </c:pt>
                <c:pt idx="5">
                  <c:v>57.787935062995977</c:v>
                </c:pt>
                <c:pt idx="6">
                  <c:v>56.394269126883863</c:v>
                </c:pt>
                <c:pt idx="7">
                  <c:v>53.373201815810518</c:v>
                </c:pt>
                <c:pt idx="8">
                  <c:v>52.545584461089739</c:v>
                </c:pt>
                <c:pt idx="9">
                  <c:v>51.697416555455142</c:v>
                </c:pt>
                <c:pt idx="10">
                  <c:v>52.095050205779671</c:v>
                </c:pt>
                <c:pt idx="11">
                  <c:v>52.425073839219159</c:v>
                </c:pt>
                <c:pt idx="12">
                  <c:v>51.411618974724227</c:v>
                </c:pt>
                <c:pt idx="13">
                  <c:v>50.585892762283287</c:v>
                </c:pt>
                <c:pt idx="14">
                  <c:v>51.175687550774704</c:v>
                </c:pt>
                <c:pt idx="15">
                  <c:v>50.88378049097372</c:v>
                </c:pt>
                <c:pt idx="16">
                  <c:v>50.617437333965746</c:v>
                </c:pt>
                <c:pt idx="17">
                  <c:v>50.159369005960492</c:v>
                </c:pt>
                <c:pt idx="18">
                  <c:v>50.683550661507695</c:v>
                </c:pt>
                <c:pt idx="19">
                  <c:v>51.311365861667042</c:v>
                </c:pt>
                <c:pt idx="20">
                  <c:v>51.422535360776841</c:v>
                </c:pt>
                <c:pt idx="21">
                  <c:v>51.465350394318079</c:v>
                </c:pt>
                <c:pt idx="22">
                  <c:v>51.326811451455448</c:v>
                </c:pt>
                <c:pt idx="23">
                  <c:v>51.523347195853198</c:v>
                </c:pt>
                <c:pt idx="24">
                  <c:v>52.959526001157805</c:v>
                </c:pt>
                <c:pt idx="25">
                  <c:v>54.301586939983416</c:v>
                </c:pt>
                <c:pt idx="26">
                  <c:v>54.475461717578632</c:v>
                </c:pt>
                <c:pt idx="27">
                  <c:v>55.158534628570635</c:v>
                </c:pt>
                <c:pt idx="28">
                  <c:v>53.368311708966836</c:v>
                </c:pt>
                <c:pt idx="29">
                  <c:v>52.629761488030262</c:v>
                </c:pt>
                <c:pt idx="30">
                  <c:v>50.804581424015147</c:v>
                </c:pt>
                <c:pt idx="31">
                  <c:v>51.198890143764196</c:v>
                </c:pt>
                <c:pt idx="32">
                  <c:v>51.39376173647122</c:v>
                </c:pt>
                <c:pt idx="33">
                  <c:v>50.685307211882169</c:v>
                </c:pt>
                <c:pt idx="34">
                  <c:v>50.268068774488093</c:v>
                </c:pt>
                <c:pt idx="35">
                  <c:v>49.804123870838218</c:v>
                </c:pt>
                <c:pt idx="36">
                  <c:v>51.147778151231563</c:v>
                </c:pt>
                <c:pt idx="37">
                  <c:v>51.372107729586752</c:v>
                </c:pt>
                <c:pt idx="38">
                  <c:v>51.900902759263062</c:v>
                </c:pt>
                <c:pt idx="39">
                  <c:v>50.354874911553317</c:v>
                </c:pt>
                <c:pt idx="40">
                  <c:v>49.452072306943165</c:v>
                </c:pt>
                <c:pt idx="41">
                  <c:v>48.622074850054254</c:v>
                </c:pt>
                <c:pt idx="42">
                  <c:v>48.602411666218337</c:v>
                </c:pt>
                <c:pt idx="43">
                  <c:v>48.387650173513713</c:v>
                </c:pt>
                <c:pt idx="44">
                  <c:v>47.929508843712547</c:v>
                </c:pt>
                <c:pt idx="45">
                  <c:v>48.440308062985785</c:v>
                </c:pt>
                <c:pt idx="46">
                  <c:v>48.800424266091312</c:v>
                </c:pt>
                <c:pt idx="47">
                  <c:v>49.308611167582704</c:v>
                </c:pt>
                <c:pt idx="48">
                  <c:v>49.178535649173206</c:v>
                </c:pt>
                <c:pt idx="49">
                  <c:v>48.792720022136258</c:v>
                </c:pt>
                <c:pt idx="50">
                  <c:v>48.877234843114962</c:v>
                </c:pt>
                <c:pt idx="51">
                  <c:v>49.581588880331417</c:v>
                </c:pt>
                <c:pt idx="52">
                  <c:v>51.135348008946323</c:v>
                </c:pt>
                <c:pt idx="53">
                  <c:v>51.944683161459984</c:v>
                </c:pt>
                <c:pt idx="54">
                  <c:v>52.675417454940316</c:v>
                </c:pt>
                <c:pt idx="55">
                  <c:v>53.94915159251611</c:v>
                </c:pt>
                <c:pt idx="56">
                  <c:v>55.966709869876503</c:v>
                </c:pt>
                <c:pt idx="57">
                  <c:v>57.450474039800291</c:v>
                </c:pt>
                <c:pt idx="58">
                  <c:v>56.932813766635633</c:v>
                </c:pt>
                <c:pt idx="59">
                  <c:v>56.419620572630585</c:v>
                </c:pt>
                <c:pt idx="60">
                  <c:v>55.81608873559275</c:v>
                </c:pt>
                <c:pt idx="61">
                  <c:v>55.995946966712985</c:v>
                </c:pt>
                <c:pt idx="62">
                  <c:v>37.252768441940752</c:v>
                </c:pt>
                <c:pt idx="63">
                  <c:v>18.244466940509913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465-4A11-A8AD-A9B89A554BD3}"/>
            </c:ext>
          </c:extLst>
        </c:ser>
        <c:ser>
          <c:idx val="4"/>
          <c:order val="6"/>
          <c:tx>
            <c:strRef>
              <c:f>'2016'!$N$2</c:f>
              <c:strCache>
                <c:ptCount val="1"/>
                <c:pt idx="0">
                  <c:v>MPG (act LTA)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'2016'!$B$3:$B$40</c:f>
              <c:numCache>
                <c:formatCode>dd/mm/yy;@</c:formatCode>
                <c:ptCount val="38"/>
                <c:pt idx="0">
                  <c:v>42554</c:v>
                </c:pt>
                <c:pt idx="1">
                  <c:v>42567</c:v>
                </c:pt>
                <c:pt idx="2">
                  <c:v>42582</c:v>
                </c:pt>
                <c:pt idx="3">
                  <c:v>42599</c:v>
                </c:pt>
                <c:pt idx="4">
                  <c:v>42607</c:v>
                </c:pt>
                <c:pt idx="5">
                  <c:v>42608</c:v>
                </c:pt>
                <c:pt idx="6">
                  <c:v>42616</c:v>
                </c:pt>
                <c:pt idx="7">
                  <c:v>42634</c:v>
                </c:pt>
                <c:pt idx="8">
                  <c:v>42649</c:v>
                </c:pt>
                <c:pt idx="9">
                  <c:v>42656</c:v>
                </c:pt>
                <c:pt idx="10">
                  <c:v>42660</c:v>
                </c:pt>
                <c:pt idx="11">
                  <c:v>42672</c:v>
                </c:pt>
                <c:pt idx="12">
                  <c:v>42686</c:v>
                </c:pt>
                <c:pt idx="13">
                  <c:v>42700</c:v>
                </c:pt>
                <c:pt idx="14">
                  <c:v>42713</c:v>
                </c:pt>
                <c:pt idx="15">
                  <c:v>42716</c:v>
                </c:pt>
                <c:pt idx="16">
                  <c:v>42733</c:v>
                </c:pt>
                <c:pt idx="17">
                  <c:v>42749</c:v>
                </c:pt>
                <c:pt idx="18">
                  <c:v>42763</c:v>
                </c:pt>
                <c:pt idx="19">
                  <c:v>42780</c:v>
                </c:pt>
                <c:pt idx="20">
                  <c:v>42786</c:v>
                </c:pt>
                <c:pt idx="21">
                  <c:v>42796</c:v>
                </c:pt>
                <c:pt idx="22">
                  <c:v>42799</c:v>
                </c:pt>
                <c:pt idx="23">
                  <c:v>42847</c:v>
                </c:pt>
                <c:pt idx="24">
                  <c:v>42861</c:v>
                </c:pt>
                <c:pt idx="25">
                  <c:v>42876</c:v>
                </c:pt>
                <c:pt idx="26">
                  <c:v>42883</c:v>
                </c:pt>
                <c:pt idx="27">
                  <c:v>42889</c:v>
                </c:pt>
                <c:pt idx="28">
                  <c:v>42916</c:v>
                </c:pt>
                <c:pt idx="29">
                  <c:v>42931</c:v>
                </c:pt>
                <c:pt idx="30">
                  <c:v>42945</c:v>
                </c:pt>
                <c:pt idx="31">
                  <c:v>42959</c:v>
                </c:pt>
                <c:pt idx="32">
                  <c:v>42973</c:v>
                </c:pt>
                <c:pt idx="33">
                  <c:v>42987</c:v>
                </c:pt>
                <c:pt idx="34">
                  <c:v>43001</c:v>
                </c:pt>
                <c:pt idx="35">
                  <c:v>43015</c:v>
                </c:pt>
                <c:pt idx="36">
                  <c:v>43019</c:v>
                </c:pt>
                <c:pt idx="37">
                  <c:v>43024</c:v>
                </c:pt>
              </c:numCache>
            </c:numRef>
          </c:cat>
          <c:val>
            <c:numRef>
              <c:f>'2016'!$N$4:$N$74</c:f>
              <c:numCache>
                <c:formatCode>0.0</c:formatCode>
                <c:ptCount val="71"/>
                <c:pt idx="0">
                  <c:v>54.410792363067294</c:v>
                </c:pt>
                <c:pt idx="1">
                  <c:v>55.440270583893167</c:v>
                </c:pt>
                <c:pt idx="2">
                  <c:v>55.321705455474749</c:v>
                </c:pt>
                <c:pt idx="3">
                  <c:v>56.437935969654845</c:v>
                </c:pt>
                <c:pt idx="4">
                  <c:v>57.37296565407123</c:v>
                </c:pt>
                <c:pt idx="5">
                  <c:v>56.554820259235356</c:v>
                </c:pt>
                <c:pt idx="6">
                  <c:v>56.419221608467282</c:v>
                </c:pt>
                <c:pt idx="7">
                  <c:v>55.873054214723467</c:v>
                </c:pt>
                <c:pt idx="8">
                  <c:v>55.218408326520155</c:v>
                </c:pt>
                <c:pt idx="9">
                  <c:v>55.002680092563637</c:v>
                </c:pt>
                <c:pt idx="10">
                  <c:v>54.842689485011526</c:v>
                </c:pt>
                <c:pt idx="11">
                  <c:v>54.520074704694906</c:v>
                </c:pt>
                <c:pt idx="12">
                  <c:v>54.17397368075455</c:v>
                </c:pt>
                <c:pt idx="13">
                  <c:v>53.930518758712616</c:v>
                </c:pt>
                <c:pt idx="14">
                  <c:v>53.85119727391087</c:v>
                </c:pt>
                <c:pt idx="15">
                  <c:v>53.557062457670646</c:v>
                </c:pt>
                <c:pt idx="16">
                  <c:v>53.345857330816116</c:v>
                </c:pt>
                <c:pt idx="17">
                  <c:v>53.235892562585811</c:v>
                </c:pt>
                <c:pt idx="18">
                  <c:v>53.103350068802818</c:v>
                </c:pt>
                <c:pt idx="19">
                  <c:v>53.04068361044375</c:v>
                </c:pt>
                <c:pt idx="20">
                  <c:v>52.976841533755952</c:v>
                </c:pt>
                <c:pt idx="21">
                  <c:v>52.879986476827618</c:v>
                </c:pt>
                <c:pt idx="22">
                  <c:v>52.817135067967008</c:v>
                </c:pt>
                <c:pt idx="23">
                  <c:v>52.795154741518104</c:v>
                </c:pt>
                <c:pt idx="24">
                  <c:v>52.889531219747241</c:v>
                </c:pt>
                <c:pt idx="25">
                  <c:v>52.988417976276601</c:v>
                </c:pt>
                <c:pt idx="26">
                  <c:v>52.981855516635946</c:v>
                </c:pt>
                <c:pt idx="27">
                  <c:v>53.132638727835463</c:v>
                </c:pt>
                <c:pt idx="28">
                  <c:v>53.027717327934212</c:v>
                </c:pt>
                <c:pt idx="29">
                  <c:v>52.94664611377538</c:v>
                </c:pt>
                <c:pt idx="30">
                  <c:v>52.907342859723819</c:v>
                </c:pt>
                <c:pt idx="31">
                  <c:v>52.856264779418275</c:v>
                </c:pt>
                <c:pt idx="32">
                  <c:v>52.805474806747732</c:v>
                </c:pt>
                <c:pt idx="33">
                  <c:v>52.711280890796623</c:v>
                </c:pt>
                <c:pt idx="34">
                  <c:v>52.634419407567115</c:v>
                </c:pt>
                <c:pt idx="35">
                  <c:v>52.555362228755271</c:v>
                </c:pt>
                <c:pt idx="36">
                  <c:v>52.584510398399452</c:v>
                </c:pt>
                <c:pt idx="37">
                  <c:v>52.534763222463404</c:v>
                </c:pt>
                <c:pt idx="38">
                  <c:v>52.505019192640489</c:v>
                </c:pt>
                <c:pt idx="39">
                  <c:v>52.417287736885996</c:v>
                </c:pt>
                <c:pt idx="40">
                  <c:v>52.309200472547296</c:v>
                </c:pt>
                <c:pt idx="41">
                  <c:v>52.227666025312907</c:v>
                </c:pt>
                <c:pt idx="42">
                  <c:v>52.151133592420813</c:v>
                </c:pt>
                <c:pt idx="43">
                  <c:v>52.041822043067732</c:v>
                </c:pt>
                <c:pt idx="44">
                  <c:v>51.941122213206206</c:v>
                </c:pt>
                <c:pt idx="45">
                  <c:v>51.909123231805481</c:v>
                </c:pt>
                <c:pt idx="46">
                  <c:v>51.83492431262242</c:v>
                </c:pt>
                <c:pt idx="47">
                  <c:v>51.77659027285474</c:v>
                </c:pt>
                <c:pt idx="48">
                  <c:v>51.74194440021575</c:v>
                </c:pt>
                <c:pt idx="49">
                  <c:v>51.65239205519326</c:v>
                </c:pt>
                <c:pt idx="50">
                  <c:v>51.606039953458293</c:v>
                </c:pt>
                <c:pt idx="51">
                  <c:v>51.617308504837816</c:v>
                </c:pt>
                <c:pt idx="52">
                  <c:v>51.623125411066077</c:v>
                </c:pt>
                <c:pt idx="53">
                  <c:v>51.624853465013935</c:v>
                </c:pt>
                <c:pt idx="54">
                  <c:v>51.675023538479763</c:v>
                </c:pt>
                <c:pt idx="55">
                  <c:v>51.747733956500895</c:v>
                </c:pt>
                <c:pt idx="56">
                  <c:v>51.853372223164591</c:v>
                </c:pt>
                <c:pt idx="57">
                  <c:v>51.97375373682393</c:v>
                </c:pt>
                <c:pt idx="58">
                  <c:v>52.011382082439944</c:v>
                </c:pt>
                <c:pt idx="59">
                  <c:v>52.081684640637896</c:v>
                </c:pt>
                <c:pt idx="60">
                  <c:v>52.162721031845344</c:v>
                </c:pt>
                <c:pt idx="61">
                  <c:v>52.204183609098315</c:v>
                </c:pt>
                <c:pt idx="62">
                  <c:v>52.204183609098315</c:v>
                </c:pt>
                <c:pt idx="63">
                  <c:v>52.204183609098315</c:v>
                </c:pt>
                <c:pt idx="64">
                  <c:v>52.204183609098315</c:v>
                </c:pt>
                <c:pt idx="65">
                  <c:v>52.204183609098315</c:v>
                </c:pt>
                <c:pt idx="66">
                  <c:v>52.204183609098315</c:v>
                </c:pt>
                <c:pt idx="67">
                  <c:v>52.204183609098315</c:v>
                </c:pt>
                <c:pt idx="68">
                  <c:v>52.204183609098315</c:v>
                </c:pt>
                <c:pt idx="69">
                  <c:v>52.204183609098315</c:v>
                </c:pt>
                <c:pt idx="70">
                  <c:v>52.204183609098315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65-4A11-A8AD-A9B89A554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87616"/>
        <c:axId val="127897600"/>
      </c:lineChart>
      <c:lineChart>
        <c:grouping val="standard"/>
        <c:varyColors val="0"/>
        <c:ser>
          <c:idx val="5"/>
          <c:order val="3"/>
          <c:tx>
            <c:strRef>
              <c:f>'2016'!$V$2</c:f>
              <c:strCache>
                <c:ptCount val="1"/>
                <c:pt idx="0">
                  <c:v>Tmp Avg</c:v>
                </c:pt>
              </c:strCache>
            </c:strRef>
          </c:tx>
          <c:spPr>
            <a:ln w="12700">
              <a:solidFill>
                <a:srgbClr val="3809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3809FF"/>
              </a:solidFill>
            </c:spPr>
          </c:marker>
          <c:cat>
            <c:numRef>
              <c:f>'2016'!$B$3:$B$74</c:f>
              <c:numCache>
                <c:formatCode>dd/mm/yy;@</c:formatCode>
                <c:ptCount val="72"/>
                <c:pt idx="0">
                  <c:v>42554</c:v>
                </c:pt>
                <c:pt idx="1">
                  <c:v>42567</c:v>
                </c:pt>
                <c:pt idx="2">
                  <c:v>42582</c:v>
                </c:pt>
                <c:pt idx="3">
                  <c:v>42599</c:v>
                </c:pt>
                <c:pt idx="4">
                  <c:v>42607</c:v>
                </c:pt>
                <c:pt idx="5">
                  <c:v>42608</c:v>
                </c:pt>
                <c:pt idx="6">
                  <c:v>42616</c:v>
                </c:pt>
                <c:pt idx="7">
                  <c:v>42634</c:v>
                </c:pt>
                <c:pt idx="8">
                  <c:v>42649</c:v>
                </c:pt>
                <c:pt idx="9">
                  <c:v>42656</c:v>
                </c:pt>
                <c:pt idx="10">
                  <c:v>42660</c:v>
                </c:pt>
                <c:pt idx="11">
                  <c:v>42672</c:v>
                </c:pt>
                <c:pt idx="12">
                  <c:v>42686</c:v>
                </c:pt>
                <c:pt idx="13">
                  <c:v>42700</c:v>
                </c:pt>
                <c:pt idx="14">
                  <c:v>42713</c:v>
                </c:pt>
                <c:pt idx="15">
                  <c:v>42716</c:v>
                </c:pt>
                <c:pt idx="16">
                  <c:v>42733</c:v>
                </c:pt>
                <c:pt idx="17">
                  <c:v>42749</c:v>
                </c:pt>
                <c:pt idx="18">
                  <c:v>42763</c:v>
                </c:pt>
                <c:pt idx="19">
                  <c:v>42780</c:v>
                </c:pt>
                <c:pt idx="20">
                  <c:v>42786</c:v>
                </c:pt>
                <c:pt idx="21">
                  <c:v>42796</c:v>
                </c:pt>
                <c:pt idx="22">
                  <c:v>42799</c:v>
                </c:pt>
                <c:pt idx="23">
                  <c:v>42847</c:v>
                </c:pt>
                <c:pt idx="24">
                  <c:v>42861</c:v>
                </c:pt>
                <c:pt idx="25">
                  <c:v>42876</c:v>
                </c:pt>
                <c:pt idx="26">
                  <c:v>42883</c:v>
                </c:pt>
                <c:pt idx="27">
                  <c:v>42889</c:v>
                </c:pt>
                <c:pt idx="28">
                  <c:v>42916</c:v>
                </c:pt>
                <c:pt idx="29">
                  <c:v>42931</c:v>
                </c:pt>
                <c:pt idx="30">
                  <c:v>42945</c:v>
                </c:pt>
                <c:pt idx="31">
                  <c:v>42959</c:v>
                </c:pt>
                <c:pt idx="32">
                  <c:v>42973</c:v>
                </c:pt>
                <c:pt idx="33">
                  <c:v>42987</c:v>
                </c:pt>
                <c:pt idx="34">
                  <c:v>43001</c:v>
                </c:pt>
                <c:pt idx="35">
                  <c:v>43015</c:v>
                </c:pt>
                <c:pt idx="36">
                  <c:v>43019</c:v>
                </c:pt>
                <c:pt idx="37">
                  <c:v>43024</c:v>
                </c:pt>
                <c:pt idx="38">
                  <c:v>43034</c:v>
                </c:pt>
                <c:pt idx="39">
                  <c:v>43049</c:v>
                </c:pt>
                <c:pt idx="40">
                  <c:v>43063</c:v>
                </c:pt>
                <c:pt idx="41">
                  <c:v>43078</c:v>
                </c:pt>
                <c:pt idx="42">
                  <c:v>43087</c:v>
                </c:pt>
                <c:pt idx="43">
                  <c:v>43095</c:v>
                </c:pt>
                <c:pt idx="44">
                  <c:v>43110</c:v>
                </c:pt>
                <c:pt idx="45">
                  <c:v>43123</c:v>
                </c:pt>
                <c:pt idx="46">
                  <c:v>43134</c:v>
                </c:pt>
                <c:pt idx="47">
                  <c:v>43149</c:v>
                </c:pt>
                <c:pt idx="48">
                  <c:v>43152</c:v>
                </c:pt>
                <c:pt idx="49">
                  <c:v>43157</c:v>
                </c:pt>
                <c:pt idx="50">
                  <c:v>43169</c:v>
                </c:pt>
                <c:pt idx="51">
                  <c:v>43182</c:v>
                </c:pt>
                <c:pt idx="52">
                  <c:v>43189</c:v>
                </c:pt>
                <c:pt idx="53">
                  <c:v>43204</c:v>
                </c:pt>
                <c:pt idx="54">
                  <c:v>43218</c:v>
                </c:pt>
                <c:pt idx="55">
                  <c:v>43232</c:v>
                </c:pt>
                <c:pt idx="56">
                  <c:v>43243</c:v>
                </c:pt>
                <c:pt idx="57">
                  <c:v>43247</c:v>
                </c:pt>
                <c:pt idx="58">
                  <c:v>43248</c:v>
                </c:pt>
                <c:pt idx="59">
                  <c:v>43273</c:v>
                </c:pt>
                <c:pt idx="60">
                  <c:v>43282</c:v>
                </c:pt>
                <c:pt idx="61">
                  <c:v>43290</c:v>
                </c:pt>
                <c:pt idx="62">
                  <c:v>43302</c:v>
                </c:pt>
                <c:pt idx="63">
                  <c:v>43285</c:v>
                </c:pt>
                <c:pt idx="64">
                  <c:v>43286</c:v>
                </c:pt>
                <c:pt idx="65">
                  <c:v>43287</c:v>
                </c:pt>
                <c:pt idx="66">
                  <c:v>43288</c:v>
                </c:pt>
                <c:pt idx="67">
                  <c:v>43289</c:v>
                </c:pt>
                <c:pt idx="68">
                  <c:v>43290</c:v>
                </c:pt>
                <c:pt idx="69">
                  <c:v>43291</c:v>
                </c:pt>
                <c:pt idx="70">
                  <c:v>43292</c:v>
                </c:pt>
                <c:pt idx="71">
                  <c:v>43293</c:v>
                </c:pt>
              </c:numCache>
            </c:numRef>
          </c:cat>
          <c:val>
            <c:numRef>
              <c:f>'2016'!$V$4:$V$40</c:f>
            </c:numRef>
          </c:val>
          <c:smooth val="1"/>
          <c:extLst>
            <c:ext xmlns:c16="http://schemas.microsoft.com/office/drawing/2014/chart" uri="{C3380CC4-5D6E-409C-BE32-E72D297353CC}">
              <c16:uniqueId val="{00000004-2465-4A11-A8AD-A9B89A554BD3}"/>
            </c:ext>
          </c:extLst>
        </c:ser>
        <c:ser>
          <c:idx val="3"/>
          <c:order val="4"/>
          <c:tx>
            <c:strRef>
              <c:f>'2016'!$S$2</c:f>
              <c:strCache>
                <c:ptCount val="1"/>
                <c:pt idx="0">
                  <c:v>Discr (3TA)</c:v>
                </c:pt>
              </c:strCache>
            </c:strRef>
          </c:tx>
          <c:spPr>
            <a:ln w="25400" cmpd="sng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'2016'!$B$3:$B$74</c:f>
              <c:numCache>
                <c:formatCode>dd/mm/yy;@</c:formatCode>
                <c:ptCount val="72"/>
                <c:pt idx="0">
                  <c:v>42554</c:v>
                </c:pt>
                <c:pt idx="1">
                  <c:v>42567</c:v>
                </c:pt>
                <c:pt idx="2">
                  <c:v>42582</c:v>
                </c:pt>
                <c:pt idx="3">
                  <c:v>42599</c:v>
                </c:pt>
                <c:pt idx="4">
                  <c:v>42607</c:v>
                </c:pt>
                <c:pt idx="5">
                  <c:v>42608</c:v>
                </c:pt>
                <c:pt idx="6">
                  <c:v>42616</c:v>
                </c:pt>
                <c:pt idx="7">
                  <c:v>42634</c:v>
                </c:pt>
                <c:pt idx="8">
                  <c:v>42649</c:v>
                </c:pt>
                <c:pt idx="9">
                  <c:v>42656</c:v>
                </c:pt>
                <c:pt idx="10">
                  <c:v>42660</c:v>
                </c:pt>
                <c:pt idx="11">
                  <c:v>42672</c:v>
                </c:pt>
                <c:pt idx="12">
                  <c:v>42686</c:v>
                </c:pt>
                <c:pt idx="13">
                  <c:v>42700</c:v>
                </c:pt>
                <c:pt idx="14">
                  <c:v>42713</c:v>
                </c:pt>
                <c:pt idx="15">
                  <c:v>42716</c:v>
                </c:pt>
                <c:pt idx="16">
                  <c:v>42733</c:v>
                </c:pt>
                <c:pt idx="17">
                  <c:v>42749</c:v>
                </c:pt>
                <c:pt idx="18">
                  <c:v>42763</c:v>
                </c:pt>
                <c:pt idx="19">
                  <c:v>42780</c:v>
                </c:pt>
                <c:pt idx="20">
                  <c:v>42786</c:v>
                </c:pt>
                <c:pt idx="21">
                  <c:v>42796</c:v>
                </c:pt>
                <c:pt idx="22">
                  <c:v>42799</c:v>
                </c:pt>
                <c:pt idx="23">
                  <c:v>42847</c:v>
                </c:pt>
                <c:pt idx="24">
                  <c:v>42861</c:v>
                </c:pt>
                <c:pt idx="25">
                  <c:v>42876</c:v>
                </c:pt>
                <c:pt idx="26">
                  <c:v>42883</c:v>
                </c:pt>
                <c:pt idx="27">
                  <c:v>42889</c:v>
                </c:pt>
                <c:pt idx="28">
                  <c:v>42916</c:v>
                </c:pt>
                <c:pt idx="29">
                  <c:v>42931</c:v>
                </c:pt>
                <c:pt idx="30">
                  <c:v>42945</c:v>
                </c:pt>
                <c:pt idx="31">
                  <c:v>42959</c:v>
                </c:pt>
                <c:pt idx="32">
                  <c:v>42973</c:v>
                </c:pt>
                <c:pt idx="33">
                  <c:v>42987</c:v>
                </c:pt>
                <c:pt idx="34">
                  <c:v>43001</c:v>
                </c:pt>
                <c:pt idx="35">
                  <c:v>43015</c:v>
                </c:pt>
                <c:pt idx="36">
                  <c:v>43019</c:v>
                </c:pt>
                <c:pt idx="37">
                  <c:v>43024</c:v>
                </c:pt>
                <c:pt idx="38">
                  <c:v>43034</c:v>
                </c:pt>
                <c:pt idx="39">
                  <c:v>43049</c:v>
                </c:pt>
                <c:pt idx="40">
                  <c:v>43063</c:v>
                </c:pt>
                <c:pt idx="41">
                  <c:v>43078</c:v>
                </c:pt>
                <c:pt idx="42">
                  <c:v>43087</c:v>
                </c:pt>
                <c:pt idx="43">
                  <c:v>43095</c:v>
                </c:pt>
                <c:pt idx="44">
                  <c:v>43110</c:v>
                </c:pt>
                <c:pt idx="45">
                  <c:v>43123</c:v>
                </c:pt>
                <c:pt idx="46">
                  <c:v>43134</c:v>
                </c:pt>
                <c:pt idx="47">
                  <c:v>43149</c:v>
                </c:pt>
                <c:pt idx="48">
                  <c:v>43152</c:v>
                </c:pt>
                <c:pt idx="49">
                  <c:v>43157</c:v>
                </c:pt>
                <c:pt idx="50">
                  <c:v>43169</c:v>
                </c:pt>
                <c:pt idx="51">
                  <c:v>43182</c:v>
                </c:pt>
                <c:pt idx="52">
                  <c:v>43189</c:v>
                </c:pt>
                <c:pt idx="53">
                  <c:v>43204</c:v>
                </c:pt>
                <c:pt idx="54">
                  <c:v>43218</c:v>
                </c:pt>
                <c:pt idx="55">
                  <c:v>43232</c:v>
                </c:pt>
                <c:pt idx="56">
                  <c:v>43243</c:v>
                </c:pt>
                <c:pt idx="57">
                  <c:v>43247</c:v>
                </c:pt>
                <c:pt idx="58">
                  <c:v>43248</c:v>
                </c:pt>
                <c:pt idx="59">
                  <c:v>43273</c:v>
                </c:pt>
                <c:pt idx="60">
                  <c:v>43282</c:v>
                </c:pt>
                <c:pt idx="61">
                  <c:v>43290</c:v>
                </c:pt>
                <c:pt idx="62">
                  <c:v>43302</c:v>
                </c:pt>
                <c:pt idx="63">
                  <c:v>43285</c:v>
                </c:pt>
                <c:pt idx="64">
                  <c:v>43286</c:v>
                </c:pt>
                <c:pt idx="65">
                  <c:v>43287</c:v>
                </c:pt>
                <c:pt idx="66">
                  <c:v>43288</c:v>
                </c:pt>
                <c:pt idx="67">
                  <c:v>43289</c:v>
                </c:pt>
                <c:pt idx="68">
                  <c:v>43290</c:v>
                </c:pt>
                <c:pt idx="69">
                  <c:v>43291</c:v>
                </c:pt>
                <c:pt idx="70">
                  <c:v>43292</c:v>
                </c:pt>
                <c:pt idx="71">
                  <c:v>43293</c:v>
                </c:pt>
              </c:numCache>
            </c:numRef>
          </c:cat>
          <c:val>
            <c:numRef>
              <c:f>'2016'!$S$4:$S$74</c:f>
              <c:numCache>
                <c:formatCode>0.0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3.8782945445252515</c:v>
                </c:pt>
                <c:pt idx="3">
                  <c:v>1.4863494948159683</c:v>
                </c:pt>
                <c:pt idx="4">
                  <c:v>0.60523763247671525</c:v>
                </c:pt>
                <c:pt idx="5">
                  <c:v>0.7453982703373635</c:v>
                </c:pt>
                <c:pt idx="6">
                  <c:v>3.2390642064494748</c:v>
                </c:pt>
                <c:pt idx="7">
                  <c:v>4.8267981841894825</c:v>
                </c:pt>
                <c:pt idx="8">
                  <c:v>4.6210822055769256</c:v>
                </c:pt>
                <c:pt idx="9">
                  <c:v>4.9692501112115179</c:v>
                </c:pt>
                <c:pt idx="10">
                  <c:v>4.7382831275536619</c:v>
                </c:pt>
                <c:pt idx="11">
                  <c:v>4.6749261607808323</c:v>
                </c:pt>
                <c:pt idx="12">
                  <c:v>4.688381025275774</c:v>
                </c:pt>
                <c:pt idx="13">
                  <c:v>4.6807739043833863</c:v>
                </c:pt>
                <c:pt idx="14">
                  <c:v>4.6576457825586317</c:v>
                </c:pt>
                <c:pt idx="15">
                  <c:v>4.6828861756929401</c:v>
                </c:pt>
                <c:pt idx="16">
                  <c:v>4.9158959993675824</c:v>
                </c:pt>
                <c:pt idx="17">
                  <c:v>4.8406309940395076</c:v>
                </c:pt>
                <c:pt idx="18">
                  <c:v>4.7164493384923079</c:v>
                </c:pt>
                <c:pt idx="19">
                  <c:v>4.221967471666292</c:v>
                </c:pt>
                <c:pt idx="20">
                  <c:v>4.1441313058898315</c:v>
                </c:pt>
                <c:pt idx="21">
                  <c:v>3.7346496056819163</c:v>
                </c:pt>
                <c:pt idx="22">
                  <c:v>4.1731885485445561</c:v>
                </c:pt>
                <c:pt idx="23">
                  <c:v>4.2766528041467993</c:v>
                </c:pt>
                <c:pt idx="24">
                  <c:v>4.8404739988421852</c:v>
                </c:pt>
                <c:pt idx="25">
                  <c:v>4.2650797266832567</c:v>
                </c:pt>
                <c:pt idx="26">
                  <c:v>4.6578716157547007</c:v>
                </c:pt>
                <c:pt idx="27">
                  <c:v>4.1081320380960307</c:v>
                </c:pt>
                <c:pt idx="28">
                  <c:v>4.9650216243664973</c:v>
                </c:pt>
                <c:pt idx="29">
                  <c:v>4.3369051786363952</c:v>
                </c:pt>
                <c:pt idx="30">
                  <c:v>4.6954185759848457</c:v>
                </c:pt>
                <c:pt idx="31">
                  <c:v>3.9344431895691394</c:v>
                </c:pt>
                <c:pt idx="32">
                  <c:v>3.9062382635287847</c:v>
                </c:pt>
                <c:pt idx="33">
                  <c:v>3.8813594547844943</c:v>
                </c:pt>
                <c:pt idx="34">
                  <c:v>3.9319312255119052</c:v>
                </c:pt>
                <c:pt idx="35">
                  <c:v>4.0292094624951202</c:v>
                </c:pt>
                <c:pt idx="36">
                  <c:v>4.0681524763425463</c:v>
                </c:pt>
                <c:pt idx="37">
                  <c:v>4.073376217241778</c:v>
                </c:pt>
                <c:pt idx="38">
                  <c:v>4.0819663460891569</c:v>
                </c:pt>
                <c:pt idx="39">
                  <c:v>4.086986512539589</c:v>
                </c:pt>
                <c:pt idx="40">
                  <c:v>4.0927474805261754</c:v>
                </c:pt>
                <c:pt idx="41">
                  <c:v>4.0940507951542973</c:v>
                </c:pt>
                <c:pt idx="42">
                  <c:v>4.1050169053248622</c:v>
                </c:pt>
                <c:pt idx="43">
                  <c:v>4.1122140019215232</c:v>
                </c:pt>
                <c:pt idx="44">
                  <c:v>4.1183635265920069</c:v>
                </c:pt>
                <c:pt idx="45">
                  <c:v>4.1205537007236419</c:v>
                </c:pt>
                <c:pt idx="46">
                  <c:v>4.1258510099694332</c:v>
                </c:pt>
                <c:pt idx="47">
                  <c:v>4.1261116567532561</c:v>
                </c:pt>
                <c:pt idx="48">
                  <c:v>4.1204507703887563</c:v>
                </c:pt>
                <c:pt idx="49">
                  <c:v>4.1132664874041529</c:v>
                </c:pt>
                <c:pt idx="50">
                  <c:v>4.1101901232814031</c:v>
                </c:pt>
                <c:pt idx="51">
                  <c:v>4.1044826744879694</c:v>
                </c:pt>
                <c:pt idx="52">
                  <c:v>4.0960495432850816</c:v>
                </c:pt>
                <c:pt idx="53">
                  <c:v>4.0902141026140262</c:v>
                </c:pt>
                <c:pt idx="54">
                  <c:v>4.0870596741506233</c:v>
                </c:pt>
                <c:pt idx="55">
                  <c:v>4.0876169334890609</c:v>
                </c:pt>
                <c:pt idx="56">
                  <c:v>4.0866876788228552</c:v>
                </c:pt>
                <c:pt idx="57">
                  <c:v>4.0773930777029088</c:v>
                </c:pt>
                <c:pt idx="58">
                  <c:v>4.073085833140496</c:v>
                </c:pt>
                <c:pt idx="59">
                  <c:v>4.071367658895011</c:v>
                </c:pt>
                <c:pt idx="60">
                  <c:v>4.0722941437465474</c:v>
                </c:pt>
                <c:pt idx="61">
                  <c:v>4.0711488927426913</c:v>
                </c:pt>
                <c:pt idx="62">
                  <c:v>4.0689180537935163</c:v>
                </c:pt>
                <c:pt idx="63">
                  <c:v>4.0716228425145848</c:v>
                </c:pt>
                <c:pt idx="64">
                  <c:v>4.0716228425145848</c:v>
                </c:pt>
                <c:pt idx="65">
                  <c:v>4.0716228425145848</c:v>
                </c:pt>
                <c:pt idx="66">
                  <c:v>4.0716228425145848</c:v>
                </c:pt>
                <c:pt idx="67">
                  <c:v>4.0716228425145848</c:v>
                </c:pt>
                <c:pt idx="68">
                  <c:v>4.0716228425145848</c:v>
                </c:pt>
                <c:pt idx="69">
                  <c:v>4.0716228425145848</c:v>
                </c:pt>
                <c:pt idx="70">
                  <c:v>4.0716228425145848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465-4A11-A8AD-A9B89A554BD3}"/>
            </c:ext>
          </c:extLst>
        </c:ser>
        <c:ser>
          <c:idx val="6"/>
          <c:order val="5"/>
          <c:tx>
            <c:strRef>
              <c:f>'2016'!$O$2</c:f>
              <c:strCache>
                <c:ptCount val="1"/>
                <c:pt idx="0">
                  <c:v>Disc (act)</c:v>
                </c:pt>
              </c:strCache>
            </c:strRef>
          </c:tx>
          <c:spPr>
            <a:ln>
              <a:solidFill>
                <a:srgbClr val="7030A0"/>
              </a:solidFill>
            </a:ln>
            <a:effectLst/>
          </c:spPr>
          <c:marker>
            <c:symbol val="none"/>
          </c:marker>
          <c:cat>
            <c:numRef>
              <c:f>'2016'!$B$3:$B$74</c:f>
              <c:numCache>
                <c:formatCode>dd/mm/yy;@</c:formatCode>
                <c:ptCount val="72"/>
                <c:pt idx="0">
                  <c:v>42554</c:v>
                </c:pt>
                <c:pt idx="1">
                  <c:v>42567</c:v>
                </c:pt>
                <c:pt idx="2">
                  <c:v>42582</c:v>
                </c:pt>
                <c:pt idx="3">
                  <c:v>42599</c:v>
                </c:pt>
                <c:pt idx="4">
                  <c:v>42607</c:v>
                </c:pt>
                <c:pt idx="5">
                  <c:v>42608</c:v>
                </c:pt>
                <c:pt idx="6">
                  <c:v>42616</c:v>
                </c:pt>
                <c:pt idx="7">
                  <c:v>42634</c:v>
                </c:pt>
                <c:pt idx="8">
                  <c:v>42649</c:v>
                </c:pt>
                <c:pt idx="9">
                  <c:v>42656</c:v>
                </c:pt>
                <c:pt idx="10">
                  <c:v>42660</c:v>
                </c:pt>
                <c:pt idx="11">
                  <c:v>42672</c:v>
                </c:pt>
                <c:pt idx="12">
                  <c:v>42686</c:v>
                </c:pt>
                <c:pt idx="13">
                  <c:v>42700</c:v>
                </c:pt>
                <c:pt idx="14">
                  <c:v>42713</c:v>
                </c:pt>
                <c:pt idx="15">
                  <c:v>42716</c:v>
                </c:pt>
                <c:pt idx="16">
                  <c:v>42733</c:v>
                </c:pt>
                <c:pt idx="17">
                  <c:v>42749</c:v>
                </c:pt>
                <c:pt idx="18">
                  <c:v>42763</c:v>
                </c:pt>
                <c:pt idx="19">
                  <c:v>42780</c:v>
                </c:pt>
                <c:pt idx="20">
                  <c:v>42786</c:v>
                </c:pt>
                <c:pt idx="21">
                  <c:v>42796</c:v>
                </c:pt>
                <c:pt idx="22">
                  <c:v>42799</c:v>
                </c:pt>
                <c:pt idx="23">
                  <c:v>42847</c:v>
                </c:pt>
                <c:pt idx="24">
                  <c:v>42861</c:v>
                </c:pt>
                <c:pt idx="25">
                  <c:v>42876</c:v>
                </c:pt>
                <c:pt idx="26">
                  <c:v>42883</c:v>
                </c:pt>
                <c:pt idx="27">
                  <c:v>42889</c:v>
                </c:pt>
                <c:pt idx="28">
                  <c:v>42916</c:v>
                </c:pt>
                <c:pt idx="29">
                  <c:v>42931</c:v>
                </c:pt>
                <c:pt idx="30">
                  <c:v>42945</c:v>
                </c:pt>
                <c:pt idx="31">
                  <c:v>42959</c:v>
                </c:pt>
                <c:pt idx="32">
                  <c:v>42973</c:v>
                </c:pt>
                <c:pt idx="33">
                  <c:v>42987</c:v>
                </c:pt>
                <c:pt idx="34">
                  <c:v>43001</c:v>
                </c:pt>
                <c:pt idx="35">
                  <c:v>43015</c:v>
                </c:pt>
                <c:pt idx="36">
                  <c:v>43019</c:v>
                </c:pt>
                <c:pt idx="37">
                  <c:v>43024</c:v>
                </c:pt>
                <c:pt idx="38">
                  <c:v>43034</c:v>
                </c:pt>
                <c:pt idx="39">
                  <c:v>43049</c:v>
                </c:pt>
                <c:pt idx="40">
                  <c:v>43063</c:v>
                </c:pt>
                <c:pt idx="41">
                  <c:v>43078</c:v>
                </c:pt>
                <c:pt idx="42">
                  <c:v>43087</c:v>
                </c:pt>
                <c:pt idx="43">
                  <c:v>43095</c:v>
                </c:pt>
                <c:pt idx="44">
                  <c:v>43110</c:v>
                </c:pt>
                <c:pt idx="45">
                  <c:v>43123</c:v>
                </c:pt>
                <c:pt idx="46">
                  <c:v>43134</c:v>
                </c:pt>
                <c:pt idx="47">
                  <c:v>43149</c:v>
                </c:pt>
                <c:pt idx="48">
                  <c:v>43152</c:v>
                </c:pt>
                <c:pt idx="49">
                  <c:v>43157</c:v>
                </c:pt>
                <c:pt idx="50">
                  <c:v>43169</c:v>
                </c:pt>
                <c:pt idx="51">
                  <c:v>43182</c:v>
                </c:pt>
                <c:pt idx="52">
                  <c:v>43189</c:v>
                </c:pt>
                <c:pt idx="53">
                  <c:v>43204</c:v>
                </c:pt>
                <c:pt idx="54">
                  <c:v>43218</c:v>
                </c:pt>
                <c:pt idx="55">
                  <c:v>43232</c:v>
                </c:pt>
                <c:pt idx="56">
                  <c:v>43243</c:v>
                </c:pt>
                <c:pt idx="57">
                  <c:v>43247</c:v>
                </c:pt>
                <c:pt idx="58">
                  <c:v>43248</c:v>
                </c:pt>
                <c:pt idx="59">
                  <c:v>43273</c:v>
                </c:pt>
                <c:pt idx="60">
                  <c:v>43282</c:v>
                </c:pt>
                <c:pt idx="61">
                  <c:v>43290</c:v>
                </c:pt>
                <c:pt idx="62">
                  <c:v>43302</c:v>
                </c:pt>
                <c:pt idx="63">
                  <c:v>43285</c:v>
                </c:pt>
                <c:pt idx="64">
                  <c:v>43286</c:v>
                </c:pt>
                <c:pt idx="65">
                  <c:v>43287</c:v>
                </c:pt>
                <c:pt idx="66">
                  <c:v>43288</c:v>
                </c:pt>
                <c:pt idx="67">
                  <c:v>43289</c:v>
                </c:pt>
                <c:pt idx="68">
                  <c:v>43290</c:v>
                </c:pt>
                <c:pt idx="69">
                  <c:v>43291</c:v>
                </c:pt>
                <c:pt idx="70">
                  <c:v>43292</c:v>
                </c:pt>
                <c:pt idx="71">
                  <c:v>43293</c:v>
                </c:pt>
              </c:numCache>
            </c:numRef>
          </c:cat>
          <c:val>
            <c:numRef>
              <c:f>'2016'!$O$4:$O$74</c:f>
              <c:numCache>
                <c:formatCode>0.0</c:formatCode>
                <c:ptCount val="71"/>
                <c:pt idx="0">
                  <c:v>3.2892076369327086</c:v>
                </c:pt>
                <c:pt idx="1">
                  <c:v>3.1302511952809624</c:v>
                </c:pt>
                <c:pt idx="2">
                  <c:v>5.215424801362083</c:v>
                </c:pt>
                <c:pt idx="3">
                  <c:v>-3.8866275121951404</c:v>
                </c:pt>
                <c:pt idx="4">
                  <c:v>0.48691560826320313</c:v>
                </c:pt>
                <c:pt idx="5">
                  <c:v>5.6359067149440278</c:v>
                </c:pt>
                <c:pt idx="6">
                  <c:v>3.594370296141193</c:v>
                </c:pt>
                <c:pt idx="7">
                  <c:v>5.2501175414832275</c:v>
                </c:pt>
                <c:pt idx="8">
                  <c:v>5.0187587791063564</c:v>
                </c:pt>
                <c:pt idx="9">
                  <c:v>4.638874013044969</c:v>
                </c:pt>
                <c:pt idx="10">
                  <c:v>4.5572165905096611</c:v>
                </c:pt>
                <c:pt idx="11">
                  <c:v>4.8286878787878678</c:v>
                </c:pt>
                <c:pt idx="12">
                  <c:v>4.6792386065297933</c:v>
                </c:pt>
                <c:pt idx="13">
                  <c:v>4.5343952278324977</c:v>
                </c:pt>
                <c:pt idx="14">
                  <c:v>4.7593035133136041</c:v>
                </c:pt>
                <c:pt idx="15">
                  <c:v>4.7549597859327193</c:v>
                </c:pt>
                <c:pt idx="16">
                  <c:v>5.2334246988564246</c:v>
                </c:pt>
                <c:pt idx="17">
                  <c:v>4.5335084973293789</c:v>
                </c:pt>
                <c:pt idx="18">
                  <c:v>4.382414819291121</c:v>
                </c:pt>
                <c:pt idx="19">
                  <c:v>3.7499790983783754</c:v>
                </c:pt>
                <c:pt idx="20">
                  <c:v>4.2999999999999972</c:v>
                </c:pt>
                <c:pt idx="21">
                  <c:v>3.1539697186673763</c:v>
                </c:pt>
                <c:pt idx="22">
                  <c:v>5.0655959269662958</c:v>
                </c:pt>
                <c:pt idx="23">
                  <c:v>4.6103927668067257</c:v>
                </c:pt>
                <c:pt idx="24">
                  <c:v>4.8454333027535341</c:v>
                </c:pt>
                <c:pt idx="25">
                  <c:v>3.3394131104895095</c:v>
                </c:pt>
                <c:pt idx="26">
                  <c:v>5.7887684340210583</c:v>
                </c:pt>
                <c:pt idx="27">
                  <c:v>3.1962145697775242</c:v>
                </c:pt>
                <c:pt idx="28">
                  <c:v>5.9100818693009103</c:v>
                </c:pt>
                <c:pt idx="29">
                  <c:v>3.9044190968307504</c:v>
                </c:pt>
                <c:pt idx="30">
                  <c:v>4.2717547618228764</c:v>
                </c:pt>
                <c:pt idx="31">
                  <c:v>3.6271557100537919</c:v>
                </c:pt>
                <c:pt idx="32">
                  <c:v>3.8198043187096857</c:v>
                </c:pt>
                <c:pt idx="33">
                  <c:v>4.1971183355900052</c:v>
                </c:pt>
                <c:pt idx="34">
                  <c:v>3.7788710222360251</c:v>
                </c:pt>
                <c:pt idx="35">
                  <c:v>4.1116390296593295</c:v>
                </c:pt>
                <c:pt idx="36">
                  <c:v>4.5661554944099478</c:v>
                </c:pt>
                <c:pt idx="37">
                  <c:v>4.1058822871704805</c:v>
                </c:pt>
                <c:pt idx="38">
                  <c:v>4.5252539406303782</c:v>
                </c:pt>
                <c:pt idx="39">
                  <c:v>4.2042390375391676</c:v>
                </c:pt>
                <c:pt idx="40">
                  <c:v>4.2142901010009766</c:v>
                </c:pt>
                <c:pt idx="41">
                  <c:v>4.0152463112970693</c:v>
                </c:pt>
                <c:pt idx="42">
                  <c:v>5.4632285890469419</c:v>
                </c:pt>
                <c:pt idx="43">
                  <c:v>3.7585745791148426</c:v>
                </c:pt>
                <c:pt idx="44">
                  <c:v>3.8896703007005726</c:v>
                </c:pt>
                <c:pt idx="45">
                  <c:v>5.0308309312272215</c:v>
                </c:pt>
                <c:pt idx="46">
                  <c:v>4.1782259697982767</c:v>
                </c:pt>
                <c:pt idx="47">
                  <c:v>3.165109596226408</c:v>
                </c:pt>
                <c:pt idx="48">
                  <c:v>4.2210574864556989</c:v>
                </c:pt>
                <c:pt idx="49">
                  <c:v>3.9356728509090999</c:v>
                </c:pt>
                <c:pt idx="50">
                  <c:v>3.7115651332903283</c:v>
                </c:pt>
                <c:pt idx="51">
                  <c:v>3.8079953748063176</c:v>
                </c:pt>
                <c:pt idx="52">
                  <c:v>3.4743954650643829</c:v>
                </c:pt>
                <c:pt idx="53">
                  <c:v>4.0835596757493207</c:v>
                </c:pt>
                <c:pt idx="54">
                  <c:v>4.2157924943653313</c:v>
                </c:pt>
                <c:pt idx="55">
                  <c:v>4.053193052337015</c:v>
                </c:pt>
                <c:pt idx="56">
                  <c:v>3.8308848436681302</c:v>
                </c:pt>
                <c:pt idx="57">
                  <c:v>2.7644999845939751</c:v>
                </c:pt>
                <c:pt idx="58">
                  <c:v>4.9061738718309869</c:v>
                </c:pt>
                <c:pt idx="59">
                  <c:v>4.2704644256832935</c:v>
                </c:pt>
                <c:pt idx="60">
                  <c:v>3.175095495707474</c:v>
                </c:pt>
                <c:pt idx="61">
                  <c:v>4.5665991784702626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65-4A11-A8AD-A9B89A554BD3}"/>
            </c:ext>
          </c:extLst>
        </c:ser>
        <c:ser>
          <c:idx val="7"/>
          <c:order val="7"/>
          <c:tx>
            <c:strRef>
              <c:f>'2016'!$W$2</c:f>
              <c:strCache>
                <c:ptCount val="1"/>
                <c:pt idx="0">
                  <c:v>Avg Temp</c:v>
                </c:pt>
              </c:strCache>
            </c:strRef>
          </c:tx>
          <c:spPr>
            <a:ln w="22225">
              <a:solidFill>
                <a:srgbClr val="3809FF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numRef>
              <c:f>'2016'!$B$3:$B$74</c:f>
              <c:numCache>
                <c:formatCode>dd/mm/yy;@</c:formatCode>
                <c:ptCount val="72"/>
                <c:pt idx="0">
                  <c:v>42554</c:v>
                </c:pt>
                <c:pt idx="1">
                  <c:v>42567</c:v>
                </c:pt>
                <c:pt idx="2">
                  <c:v>42582</c:v>
                </c:pt>
                <c:pt idx="3">
                  <c:v>42599</c:v>
                </c:pt>
                <c:pt idx="4">
                  <c:v>42607</c:v>
                </c:pt>
                <c:pt idx="5">
                  <c:v>42608</c:v>
                </c:pt>
                <c:pt idx="6">
                  <c:v>42616</c:v>
                </c:pt>
                <c:pt idx="7">
                  <c:v>42634</c:v>
                </c:pt>
                <c:pt idx="8">
                  <c:v>42649</c:v>
                </c:pt>
                <c:pt idx="9">
                  <c:v>42656</c:v>
                </c:pt>
                <c:pt idx="10">
                  <c:v>42660</c:v>
                </c:pt>
                <c:pt idx="11">
                  <c:v>42672</c:v>
                </c:pt>
                <c:pt idx="12">
                  <c:v>42686</c:v>
                </c:pt>
                <c:pt idx="13">
                  <c:v>42700</c:v>
                </c:pt>
                <c:pt idx="14">
                  <c:v>42713</c:v>
                </c:pt>
                <c:pt idx="15">
                  <c:v>42716</c:v>
                </c:pt>
                <c:pt idx="16">
                  <c:v>42733</c:v>
                </c:pt>
                <c:pt idx="17">
                  <c:v>42749</c:v>
                </c:pt>
                <c:pt idx="18">
                  <c:v>42763</c:v>
                </c:pt>
                <c:pt idx="19">
                  <c:v>42780</c:v>
                </c:pt>
                <c:pt idx="20">
                  <c:v>42786</c:v>
                </c:pt>
                <c:pt idx="21">
                  <c:v>42796</c:v>
                </c:pt>
                <c:pt idx="22">
                  <c:v>42799</c:v>
                </c:pt>
                <c:pt idx="23">
                  <c:v>42847</c:v>
                </c:pt>
                <c:pt idx="24">
                  <c:v>42861</c:v>
                </c:pt>
                <c:pt idx="25">
                  <c:v>42876</c:v>
                </c:pt>
                <c:pt idx="26">
                  <c:v>42883</c:v>
                </c:pt>
                <c:pt idx="27">
                  <c:v>42889</c:v>
                </c:pt>
                <c:pt idx="28">
                  <c:v>42916</c:v>
                </c:pt>
                <c:pt idx="29">
                  <c:v>42931</c:v>
                </c:pt>
                <c:pt idx="30">
                  <c:v>42945</c:v>
                </c:pt>
                <c:pt idx="31">
                  <c:v>42959</c:v>
                </c:pt>
                <c:pt idx="32">
                  <c:v>42973</c:v>
                </c:pt>
                <c:pt idx="33">
                  <c:v>42987</c:v>
                </c:pt>
                <c:pt idx="34">
                  <c:v>43001</c:v>
                </c:pt>
                <c:pt idx="35">
                  <c:v>43015</c:v>
                </c:pt>
                <c:pt idx="36">
                  <c:v>43019</c:v>
                </c:pt>
                <c:pt idx="37">
                  <c:v>43024</c:v>
                </c:pt>
                <c:pt idx="38">
                  <c:v>43034</c:v>
                </c:pt>
                <c:pt idx="39">
                  <c:v>43049</c:v>
                </c:pt>
                <c:pt idx="40">
                  <c:v>43063</c:v>
                </c:pt>
                <c:pt idx="41">
                  <c:v>43078</c:v>
                </c:pt>
                <c:pt idx="42">
                  <c:v>43087</c:v>
                </c:pt>
                <c:pt idx="43">
                  <c:v>43095</c:v>
                </c:pt>
                <c:pt idx="44">
                  <c:v>43110</c:v>
                </c:pt>
                <c:pt idx="45">
                  <c:v>43123</c:v>
                </c:pt>
                <c:pt idx="46">
                  <c:v>43134</c:v>
                </c:pt>
                <c:pt idx="47">
                  <c:v>43149</c:v>
                </c:pt>
                <c:pt idx="48">
                  <c:v>43152</c:v>
                </c:pt>
                <c:pt idx="49">
                  <c:v>43157</c:v>
                </c:pt>
                <c:pt idx="50">
                  <c:v>43169</c:v>
                </c:pt>
                <c:pt idx="51">
                  <c:v>43182</c:v>
                </c:pt>
                <c:pt idx="52">
                  <c:v>43189</c:v>
                </c:pt>
                <c:pt idx="53">
                  <c:v>43204</c:v>
                </c:pt>
                <c:pt idx="54">
                  <c:v>43218</c:v>
                </c:pt>
                <c:pt idx="55">
                  <c:v>43232</c:v>
                </c:pt>
                <c:pt idx="56">
                  <c:v>43243</c:v>
                </c:pt>
                <c:pt idx="57">
                  <c:v>43247</c:v>
                </c:pt>
                <c:pt idx="58">
                  <c:v>43248</c:v>
                </c:pt>
                <c:pt idx="59">
                  <c:v>43273</c:v>
                </c:pt>
                <c:pt idx="60">
                  <c:v>43282</c:v>
                </c:pt>
                <c:pt idx="61">
                  <c:v>43290</c:v>
                </c:pt>
                <c:pt idx="62">
                  <c:v>43302</c:v>
                </c:pt>
                <c:pt idx="63">
                  <c:v>43285</c:v>
                </c:pt>
                <c:pt idx="64">
                  <c:v>43286</c:v>
                </c:pt>
                <c:pt idx="65">
                  <c:v>43287</c:v>
                </c:pt>
                <c:pt idx="66">
                  <c:v>43288</c:v>
                </c:pt>
                <c:pt idx="67">
                  <c:v>43289</c:v>
                </c:pt>
                <c:pt idx="68">
                  <c:v>43290</c:v>
                </c:pt>
                <c:pt idx="69">
                  <c:v>43291</c:v>
                </c:pt>
                <c:pt idx="70">
                  <c:v>43292</c:v>
                </c:pt>
                <c:pt idx="71">
                  <c:v>43293</c:v>
                </c:pt>
              </c:numCache>
            </c:numRef>
          </c:cat>
          <c:val>
            <c:numRef>
              <c:f>'2016'!$W$4:$W$74</c:f>
              <c:numCache>
                <c:formatCode>0.0</c:formatCode>
                <c:ptCount val="71"/>
                <c:pt idx="0">
                  <c:v>16.8</c:v>
                </c:pt>
                <c:pt idx="1">
                  <c:v>19</c:v>
                </c:pt>
                <c:pt idx="2">
                  <c:v>17.600000000000001</c:v>
                </c:pt>
                <c:pt idx="3">
                  <c:v>19</c:v>
                </c:pt>
                <c:pt idx="4">
                  <c:v>18.2</c:v>
                </c:pt>
                <c:pt idx="5">
                  <c:v>17.7</c:v>
                </c:pt>
                <c:pt idx="6">
                  <c:v>17.7</c:v>
                </c:pt>
                <c:pt idx="7">
                  <c:v>14.4</c:v>
                </c:pt>
                <c:pt idx="8">
                  <c:v>12.4</c:v>
                </c:pt>
                <c:pt idx="9">
                  <c:v>11.9</c:v>
                </c:pt>
                <c:pt idx="10">
                  <c:v>11.7</c:v>
                </c:pt>
                <c:pt idx="11">
                  <c:v>8.9</c:v>
                </c:pt>
                <c:pt idx="12">
                  <c:v>7.1</c:v>
                </c:pt>
                <c:pt idx="13">
                  <c:v>7.1</c:v>
                </c:pt>
                <c:pt idx="14">
                  <c:v>9.1</c:v>
                </c:pt>
                <c:pt idx="15">
                  <c:v>7.1</c:v>
                </c:pt>
                <c:pt idx="16">
                  <c:v>6.2</c:v>
                </c:pt>
                <c:pt idx="17">
                  <c:v>5.4</c:v>
                </c:pt>
                <c:pt idx="18">
                  <c:v>5.8</c:v>
                </c:pt>
                <c:pt idx="19">
                  <c:v>8.6999999999999993</c:v>
                </c:pt>
                <c:pt idx="20">
                  <c:v>7.9</c:v>
                </c:pt>
                <c:pt idx="21">
                  <c:v>7.1</c:v>
                </c:pt>
                <c:pt idx="22">
                  <c:v>10.199999999999999</c:v>
                </c:pt>
                <c:pt idx="23">
                  <c:v>11.3</c:v>
                </c:pt>
                <c:pt idx="24">
                  <c:v>14.1</c:v>
                </c:pt>
                <c:pt idx="25">
                  <c:v>19</c:v>
                </c:pt>
                <c:pt idx="26">
                  <c:v>16.7</c:v>
                </c:pt>
                <c:pt idx="27">
                  <c:v>16.899999999999999</c:v>
                </c:pt>
                <c:pt idx="28">
                  <c:v>17.2</c:v>
                </c:pt>
                <c:pt idx="29">
                  <c:v>18.100000000000001</c:v>
                </c:pt>
                <c:pt idx="30">
                  <c:v>17.100000000000001</c:v>
                </c:pt>
                <c:pt idx="31">
                  <c:v>17.5</c:v>
                </c:pt>
                <c:pt idx="32">
                  <c:v>16.5</c:v>
                </c:pt>
                <c:pt idx="33">
                  <c:v>13.6</c:v>
                </c:pt>
                <c:pt idx="34">
                  <c:v>14.1</c:v>
                </c:pt>
                <c:pt idx="35">
                  <c:v>14</c:v>
                </c:pt>
                <c:pt idx="36">
                  <c:v>16</c:v>
                </c:pt>
                <c:pt idx="37">
                  <c:v>13</c:v>
                </c:pt>
                <c:pt idx="38">
                  <c:v>10.5</c:v>
                </c:pt>
                <c:pt idx="39">
                  <c:v>9.3000000000000007</c:v>
                </c:pt>
                <c:pt idx="40">
                  <c:v>6.3</c:v>
                </c:pt>
                <c:pt idx="41">
                  <c:v>3.8</c:v>
                </c:pt>
                <c:pt idx="42">
                  <c:v>8.5</c:v>
                </c:pt>
                <c:pt idx="43">
                  <c:v>5.32</c:v>
                </c:pt>
                <c:pt idx="44">
                  <c:v>5.6</c:v>
                </c:pt>
                <c:pt idx="45">
                  <c:v>7.1</c:v>
                </c:pt>
                <c:pt idx="46">
                  <c:v>4.7</c:v>
                </c:pt>
                <c:pt idx="47">
                  <c:v>7.3</c:v>
                </c:pt>
                <c:pt idx="48">
                  <c:v>4.3</c:v>
                </c:pt>
                <c:pt idx="49">
                  <c:v>3.7</c:v>
                </c:pt>
                <c:pt idx="50">
                  <c:v>6.9</c:v>
                </c:pt>
                <c:pt idx="51">
                  <c:v>7.5</c:v>
                </c:pt>
                <c:pt idx="52">
                  <c:v>8.5</c:v>
                </c:pt>
                <c:pt idx="53">
                  <c:v>12.8</c:v>
                </c:pt>
                <c:pt idx="54">
                  <c:v>12</c:v>
                </c:pt>
                <c:pt idx="55">
                  <c:v>14.09</c:v>
                </c:pt>
                <c:pt idx="56">
                  <c:v>19</c:v>
                </c:pt>
                <c:pt idx="57">
                  <c:v>19.5</c:v>
                </c:pt>
                <c:pt idx="58">
                  <c:v>18.3</c:v>
                </c:pt>
                <c:pt idx="59">
                  <c:v>20.399999999999999</c:v>
                </c:pt>
                <c:pt idx="60">
                  <c:v>21.3</c:v>
                </c:pt>
                <c:pt idx="6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65-4A11-A8AD-A9B89A554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00672"/>
        <c:axId val="127899136"/>
      </c:lineChart>
      <c:catAx>
        <c:axId val="12788761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27897600"/>
        <c:crosses val="autoZero"/>
        <c:auto val="0"/>
        <c:lblAlgn val="ctr"/>
        <c:lblOffset val="100"/>
        <c:noMultiLvlLbl val="0"/>
      </c:catAx>
      <c:valAx>
        <c:axId val="127897600"/>
        <c:scaling>
          <c:orientation val="minMax"/>
          <c:max val="62"/>
          <c:min val="46"/>
        </c:scaling>
        <c:delete val="0"/>
        <c:axPos val="l"/>
        <c:majorGridlines/>
        <c:minorGridlines/>
        <c:numFmt formatCode="0" sourceLinked="0"/>
        <c:majorTickMark val="out"/>
        <c:minorTickMark val="out"/>
        <c:tickLblPos val="nextTo"/>
        <c:crossAx val="127887616"/>
        <c:crosses val="autoZero"/>
        <c:crossBetween val="between"/>
        <c:minorUnit val="1"/>
      </c:valAx>
      <c:valAx>
        <c:axId val="127899136"/>
        <c:scaling>
          <c:orientation val="minMax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crossAx val="127900672"/>
        <c:crosses val="max"/>
        <c:crossBetween val="between"/>
      </c:valAx>
      <c:catAx>
        <c:axId val="1279006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one"/>
        <c:crossAx val="127899136"/>
        <c:crosses val="autoZero"/>
        <c:auto val="0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'2016'!$AD$39</c:f>
              <c:strCache>
                <c:ptCount val="1"/>
                <c:pt idx="0">
                  <c:v>Avg MPG per month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'2016'!$AA$40:$AA$66</c:f>
              <c:strCache>
                <c:ptCount val="27"/>
                <c:pt idx="0">
                  <c:v>Jul-16</c:v>
                </c:pt>
                <c:pt idx="1">
                  <c:v>Aug-16</c:v>
                </c:pt>
                <c:pt idx="2">
                  <c:v>Sept-16</c:v>
                </c:pt>
                <c:pt idx="3">
                  <c:v>Oct-16</c:v>
                </c:pt>
                <c:pt idx="4">
                  <c:v>Nov-16</c:v>
                </c:pt>
                <c:pt idx="5">
                  <c:v>Dec-16</c:v>
                </c:pt>
                <c:pt idx="6">
                  <c:v>Jan-17</c:v>
                </c:pt>
                <c:pt idx="7">
                  <c:v>Feb-17</c:v>
                </c:pt>
                <c:pt idx="8">
                  <c:v>Mar-17</c:v>
                </c:pt>
                <c:pt idx="9">
                  <c:v>Apr-17</c:v>
                </c:pt>
                <c:pt idx="10">
                  <c:v>May-17</c:v>
                </c:pt>
                <c:pt idx="11">
                  <c:v>Jun-17</c:v>
                </c:pt>
                <c:pt idx="12">
                  <c:v>Jul-17</c:v>
                </c:pt>
                <c:pt idx="13">
                  <c:v>Aug-17</c:v>
                </c:pt>
                <c:pt idx="14">
                  <c:v>Sept-17</c:v>
                </c:pt>
                <c:pt idx="15">
                  <c:v>Oct-17</c:v>
                </c:pt>
                <c:pt idx="16">
                  <c:v>Nov-17</c:v>
                </c:pt>
                <c:pt idx="17">
                  <c:v>Dec-17</c:v>
                </c:pt>
                <c:pt idx="18">
                  <c:v>Jan-18</c:v>
                </c:pt>
                <c:pt idx="19">
                  <c:v>Feb-18</c:v>
                </c:pt>
                <c:pt idx="20">
                  <c:v>Mar-18</c:v>
                </c:pt>
                <c:pt idx="21">
                  <c:v>Apr-18</c:v>
                </c:pt>
                <c:pt idx="22">
                  <c:v>May-18</c:v>
                </c:pt>
                <c:pt idx="23">
                  <c:v>Jun-18</c:v>
                </c:pt>
                <c:pt idx="24">
                  <c:v>Jul-18</c:v>
                </c:pt>
                <c:pt idx="25">
                  <c:v>Aug-18</c:v>
                </c:pt>
                <c:pt idx="26">
                  <c:v>Sept-18</c:v>
                </c:pt>
              </c:strCache>
            </c:strRef>
          </c:cat>
          <c:val>
            <c:numRef>
              <c:f>'2016'!$AD$40:$AD$66</c:f>
              <c:numCache>
                <c:formatCode>0.0</c:formatCode>
                <c:ptCount val="27"/>
                <c:pt idx="0">
                  <c:v>55.440270583893167</c:v>
                </c:pt>
                <c:pt idx="1">
                  <c:v>58.66142903418995</c:v>
                </c:pt>
                <c:pt idx="2">
                  <c:v>54.034861494457388</c:v>
                </c:pt>
                <c:pt idx="3">
                  <c:v>52.08375826896394</c:v>
                </c:pt>
                <c:pt idx="4">
                  <c:v>50.496036757341173</c:v>
                </c:pt>
                <c:pt idx="5">
                  <c:v>50.88378049097372</c:v>
                </c:pt>
                <c:pt idx="6">
                  <c:v>50.666533401907103</c:v>
                </c:pt>
                <c:pt idx="7">
                  <c:v>51.283803041165257</c:v>
                </c:pt>
                <c:pt idx="8">
                  <c:v>51.273015140666317</c:v>
                </c:pt>
                <c:pt idx="9">
                  <c:v>51.434404073033704</c:v>
                </c:pt>
                <c:pt idx="10">
                  <c:v>54.301586939983416</c:v>
                </c:pt>
                <c:pt idx="11">
                  <c:v>55.007508498100705</c:v>
                </c:pt>
                <c:pt idx="12">
                  <c:v>50.34274951693417</c:v>
                </c:pt>
                <c:pt idx="13">
                  <c:v>51.500544764061665</c:v>
                </c:pt>
                <c:pt idx="14">
                  <c:v>50.391538672850153</c:v>
                </c:pt>
                <c:pt idx="15">
                  <c:v>51.034363041631053</c:v>
                </c:pt>
                <c:pt idx="16">
                  <c:v>50.185253510915231</c:v>
                </c:pt>
                <c:pt idx="17">
                  <c:v>48.602411666218337</c:v>
                </c:pt>
                <c:pt idx="18">
                  <c:v>47.425877560092289</c:v>
                </c:pt>
                <c:pt idx="19">
                  <c:v>49.501194004073099</c:v>
                </c:pt>
                <c:pt idx="20">
                  <c:v>49.581588880331417</c:v>
                </c:pt>
                <c:pt idx="21">
                  <c:v>51.821022429593143</c:v>
                </c:pt>
                <c:pt idx="22">
                  <c:v>56.683907406258882</c:v>
                </c:pt>
                <c:pt idx="23">
                  <c:v>54.193826128169015</c:v>
                </c:pt>
                <c:pt idx="24">
                  <c:v>55.995946966712985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4-4DD5-889B-1FCFD8364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908864"/>
        <c:axId val="128337024"/>
      </c:barChart>
      <c:lineChart>
        <c:grouping val="standard"/>
        <c:varyColors val="0"/>
        <c:ser>
          <c:idx val="1"/>
          <c:order val="1"/>
          <c:tx>
            <c:strRef>
              <c:f>'2016'!$AF$39</c:f>
              <c:strCache>
                <c:ptCount val="1"/>
                <c:pt idx="0">
                  <c:v>Avg Temp</c:v>
                </c:pt>
              </c:strCache>
            </c:strRef>
          </c:tx>
          <c:spPr>
            <a:ln w="25400">
              <a:solidFill>
                <a:srgbClr val="3809FF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44450">
                <a:noFill/>
              </a:ln>
            </c:spPr>
          </c:marker>
          <c:cat>
            <c:strRef>
              <c:f>'2016'!$AA$40:$AA$66</c:f>
              <c:strCache>
                <c:ptCount val="27"/>
                <c:pt idx="0">
                  <c:v>Jul-16</c:v>
                </c:pt>
                <c:pt idx="1">
                  <c:v>Aug-16</c:v>
                </c:pt>
                <c:pt idx="2">
                  <c:v>Sept-16</c:v>
                </c:pt>
                <c:pt idx="3">
                  <c:v>Oct-16</c:v>
                </c:pt>
                <c:pt idx="4">
                  <c:v>Nov-16</c:v>
                </c:pt>
                <c:pt idx="5">
                  <c:v>Dec-16</c:v>
                </c:pt>
                <c:pt idx="6">
                  <c:v>Jan-17</c:v>
                </c:pt>
                <c:pt idx="7">
                  <c:v>Feb-17</c:v>
                </c:pt>
                <c:pt idx="8">
                  <c:v>Mar-17</c:v>
                </c:pt>
                <c:pt idx="9">
                  <c:v>Apr-17</c:v>
                </c:pt>
                <c:pt idx="10">
                  <c:v>May-17</c:v>
                </c:pt>
                <c:pt idx="11">
                  <c:v>Jun-17</c:v>
                </c:pt>
                <c:pt idx="12">
                  <c:v>Jul-17</c:v>
                </c:pt>
                <c:pt idx="13">
                  <c:v>Aug-17</c:v>
                </c:pt>
                <c:pt idx="14">
                  <c:v>Sept-17</c:v>
                </c:pt>
                <c:pt idx="15">
                  <c:v>Oct-17</c:v>
                </c:pt>
                <c:pt idx="16">
                  <c:v>Nov-17</c:v>
                </c:pt>
                <c:pt idx="17">
                  <c:v>Dec-17</c:v>
                </c:pt>
                <c:pt idx="18">
                  <c:v>Jan-18</c:v>
                </c:pt>
                <c:pt idx="19">
                  <c:v>Feb-18</c:v>
                </c:pt>
                <c:pt idx="20">
                  <c:v>Mar-18</c:v>
                </c:pt>
                <c:pt idx="21">
                  <c:v>Apr-18</c:v>
                </c:pt>
                <c:pt idx="22">
                  <c:v>May-18</c:v>
                </c:pt>
                <c:pt idx="23">
                  <c:v>Jun-18</c:v>
                </c:pt>
                <c:pt idx="24">
                  <c:v>Jul-18</c:v>
                </c:pt>
                <c:pt idx="25">
                  <c:v>Aug-18</c:v>
                </c:pt>
                <c:pt idx="26">
                  <c:v>Sept-18</c:v>
                </c:pt>
              </c:strCache>
            </c:strRef>
          </c:cat>
          <c:val>
            <c:numRef>
              <c:f>'2016'!$AF$40:$AF$66</c:f>
              <c:numCache>
                <c:formatCode>0.0</c:formatCode>
                <c:ptCount val="27"/>
                <c:pt idx="0">
                  <c:v>17.899999999999999</c:v>
                </c:pt>
                <c:pt idx="1">
                  <c:v>18.266666666666666</c:v>
                </c:pt>
                <c:pt idx="2">
                  <c:v>17.7</c:v>
                </c:pt>
                <c:pt idx="3">
                  <c:v>12.600000000000001</c:v>
                </c:pt>
                <c:pt idx="4">
                  <c:v>8</c:v>
                </c:pt>
                <c:pt idx="5">
                  <c:v>7.7666666666666657</c:v>
                </c:pt>
                <c:pt idx="6">
                  <c:v>5.8000000000000007</c:v>
                </c:pt>
                <c:pt idx="7">
                  <c:v>7.25</c:v>
                </c:pt>
                <c:pt idx="8">
                  <c:v>7.5</c:v>
                </c:pt>
                <c:pt idx="9">
                  <c:v>10.199999999999999</c:v>
                </c:pt>
                <c:pt idx="10">
                  <c:v>14.799999999999999</c:v>
                </c:pt>
                <c:pt idx="11">
                  <c:v>16.799999999999997</c:v>
                </c:pt>
                <c:pt idx="12">
                  <c:v>17.649999999999999</c:v>
                </c:pt>
                <c:pt idx="13">
                  <c:v>17.3</c:v>
                </c:pt>
                <c:pt idx="14">
                  <c:v>15.05</c:v>
                </c:pt>
                <c:pt idx="15">
                  <c:v>14.275</c:v>
                </c:pt>
                <c:pt idx="16">
                  <c:v>9.9</c:v>
                </c:pt>
                <c:pt idx="17">
                  <c:v>6.2</c:v>
                </c:pt>
                <c:pt idx="18">
                  <c:v>5.46</c:v>
                </c:pt>
                <c:pt idx="19">
                  <c:v>5.8500000000000005</c:v>
                </c:pt>
                <c:pt idx="20">
                  <c:v>6.0333333333333341</c:v>
                </c:pt>
                <c:pt idx="21">
                  <c:v>10.65</c:v>
                </c:pt>
                <c:pt idx="22">
                  <c:v>16.147500000000001</c:v>
                </c:pt>
                <c:pt idx="23">
                  <c:v>18.3</c:v>
                </c:pt>
                <c:pt idx="24">
                  <c:v>20.133333333333336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9C4-4DD5-889B-1FCFD8364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83488"/>
        <c:axId val="128338944"/>
      </c:lineChart>
      <c:catAx>
        <c:axId val="12790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337024"/>
        <c:crosses val="autoZero"/>
        <c:auto val="1"/>
        <c:lblAlgn val="ctr"/>
        <c:lblOffset val="100"/>
        <c:noMultiLvlLbl val="0"/>
      </c:catAx>
      <c:valAx>
        <c:axId val="128337024"/>
        <c:scaling>
          <c:orientation val="minMax"/>
          <c:max val="60"/>
          <c:min val="4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aseline="0">
                    <a:solidFill>
                      <a:srgbClr val="008000"/>
                    </a:solidFill>
                  </a:defRPr>
                </a:pPr>
                <a:r>
                  <a:rPr lang="en-US" baseline="0">
                    <a:solidFill>
                      <a:srgbClr val="008000"/>
                    </a:solidFill>
                  </a:rPr>
                  <a:t>Avg MPG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908864"/>
        <c:crosses val="autoZero"/>
        <c:crossBetween val="between"/>
      </c:valAx>
      <c:valAx>
        <c:axId val="128338944"/>
        <c:scaling>
          <c:orientation val="minMax"/>
          <c:max val="2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aseline="0">
                    <a:solidFill>
                      <a:srgbClr val="3809FF"/>
                    </a:solidFill>
                  </a:defRPr>
                </a:pPr>
                <a:r>
                  <a:rPr lang="en-US" baseline="0">
                    <a:solidFill>
                      <a:srgbClr val="3809FF"/>
                    </a:solidFill>
                  </a:rPr>
                  <a:t>Avg Temperature (deg C)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8783488"/>
        <c:crosses val="max"/>
        <c:crossBetween val="between"/>
      </c:valAx>
      <c:catAx>
        <c:axId val="12878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338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Servicing!$C$29</c:f>
              <c:strCache>
                <c:ptCount val="1"/>
                <c:pt idx="0">
                  <c:v>Mileage</c:v>
                </c:pt>
              </c:strCache>
            </c:strRef>
          </c:tx>
          <c:spPr>
            <a:solidFill>
              <a:srgbClr val="92D050">
                <a:alpha val="50000"/>
              </a:srgbClr>
            </a:solidFill>
          </c:spPr>
          <c:invertIfNegative val="0"/>
          <c:val>
            <c:numRef>
              <c:f>Servicing!$C$30:$C$62</c:f>
              <c:numCache>
                <c:formatCode>General</c:formatCode>
                <c:ptCount val="33"/>
                <c:pt idx="0">
                  <c:v>782.5</c:v>
                </c:pt>
                <c:pt idx="1">
                  <c:v>737.5</c:v>
                </c:pt>
                <c:pt idx="2">
                  <c:v>759.5</c:v>
                </c:pt>
                <c:pt idx="3">
                  <c:v>1186</c:v>
                </c:pt>
                <c:pt idx="4">
                  <c:v>674.7</c:v>
                </c:pt>
                <c:pt idx="5">
                  <c:v>1029.9000000000001</c:v>
                </c:pt>
                <c:pt idx="6">
                  <c:v>688.7</c:v>
                </c:pt>
                <c:pt idx="7">
                  <c:v>763.8</c:v>
                </c:pt>
                <c:pt idx="8">
                  <c:v>479.7</c:v>
                </c:pt>
                <c:pt idx="9">
                  <c:v>362.5</c:v>
                </c:pt>
                <c:pt idx="10">
                  <c:v>1073.5999999999999</c:v>
                </c:pt>
                <c:pt idx="11">
                  <c:v>711.4</c:v>
                </c:pt>
                <c:pt idx="12">
                  <c:v>692.6</c:v>
                </c:pt>
                <c:pt idx="13">
                  <c:v>669.6</c:v>
                </c:pt>
                <c:pt idx="14">
                  <c:v>693.9</c:v>
                </c:pt>
                <c:pt idx="15">
                  <c:v>1186.2</c:v>
                </c:pt>
                <c:pt idx="16">
                  <c:v>772.8</c:v>
                </c:pt>
                <c:pt idx="17">
                  <c:v>989.40000000000009</c:v>
                </c:pt>
                <c:pt idx="18">
                  <c:v>703.1</c:v>
                </c:pt>
                <c:pt idx="19">
                  <c:v>1094.7</c:v>
                </c:pt>
                <c:pt idx="20">
                  <c:v>1050.7</c:v>
                </c:pt>
                <c:pt idx="21">
                  <c:v>733.2</c:v>
                </c:pt>
                <c:pt idx="22">
                  <c:v>1339.1</c:v>
                </c:pt>
                <c:pt idx="23">
                  <c:v>304.7</c:v>
                </c:pt>
                <c:pt idx="24">
                  <c:v>977.1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6-4947-B198-2AEFFFF47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9576832"/>
        <c:axId val="139575296"/>
      </c:barChart>
      <c:lineChart>
        <c:grouping val="standard"/>
        <c:varyColors val="0"/>
        <c:ser>
          <c:idx val="0"/>
          <c:order val="0"/>
          <c:tx>
            <c:strRef>
              <c:f>Servicing!$E$29</c:f>
              <c:strCache>
                <c:ptCount val="1"/>
                <c:pt idx="0">
                  <c:v>ODO</c:v>
                </c:pt>
              </c:strCache>
            </c:strRef>
          </c:tx>
          <c:marker>
            <c:symbol val="none"/>
          </c:marker>
          <c:cat>
            <c:strRef>
              <c:f>Servicing!$B$30:$B$62</c:f>
              <c:strCache>
                <c:ptCount val="33"/>
                <c:pt idx="0">
                  <c:v>Jul-16</c:v>
                </c:pt>
                <c:pt idx="1">
                  <c:v>Aug-16</c:v>
                </c:pt>
                <c:pt idx="2">
                  <c:v>Sept-16</c:v>
                </c:pt>
                <c:pt idx="3">
                  <c:v>Oct-16</c:v>
                </c:pt>
                <c:pt idx="4">
                  <c:v>Nov-16</c:v>
                </c:pt>
                <c:pt idx="5">
                  <c:v>Dec-16</c:v>
                </c:pt>
                <c:pt idx="6">
                  <c:v>Jan-17</c:v>
                </c:pt>
                <c:pt idx="7">
                  <c:v>Feb-17</c:v>
                </c:pt>
                <c:pt idx="8">
                  <c:v>Mar-17</c:v>
                </c:pt>
                <c:pt idx="9">
                  <c:v>Apr-17</c:v>
                </c:pt>
                <c:pt idx="10">
                  <c:v>May-17</c:v>
                </c:pt>
                <c:pt idx="11">
                  <c:v>Jun-17</c:v>
                </c:pt>
                <c:pt idx="12">
                  <c:v>Jul-17</c:v>
                </c:pt>
                <c:pt idx="13">
                  <c:v>Aug-17</c:v>
                </c:pt>
                <c:pt idx="14">
                  <c:v>Sept-17</c:v>
                </c:pt>
                <c:pt idx="15">
                  <c:v>Oct-17</c:v>
                </c:pt>
                <c:pt idx="16">
                  <c:v>Nov-17</c:v>
                </c:pt>
                <c:pt idx="17">
                  <c:v>Dec-17</c:v>
                </c:pt>
                <c:pt idx="18">
                  <c:v>Jan-18</c:v>
                </c:pt>
                <c:pt idx="19">
                  <c:v>Feb-18</c:v>
                </c:pt>
                <c:pt idx="20">
                  <c:v>Mar-18</c:v>
                </c:pt>
                <c:pt idx="21">
                  <c:v>Apr-18</c:v>
                </c:pt>
                <c:pt idx="22">
                  <c:v>May-18</c:v>
                </c:pt>
                <c:pt idx="23">
                  <c:v>Jun-18</c:v>
                </c:pt>
                <c:pt idx="24">
                  <c:v>Jul-18</c:v>
                </c:pt>
                <c:pt idx="25">
                  <c:v>Aug-18</c:v>
                </c:pt>
                <c:pt idx="26">
                  <c:v>Sept-18</c:v>
                </c:pt>
                <c:pt idx="27">
                  <c:v>Oct-18</c:v>
                </c:pt>
                <c:pt idx="28">
                  <c:v>Nob-18</c:v>
                </c:pt>
                <c:pt idx="29">
                  <c:v>Dec-18</c:v>
                </c:pt>
                <c:pt idx="30">
                  <c:v>Jan-19</c:v>
                </c:pt>
                <c:pt idx="31">
                  <c:v>Feb-19</c:v>
                </c:pt>
                <c:pt idx="32">
                  <c:v>Mar-19</c:v>
                </c:pt>
              </c:strCache>
            </c:strRef>
          </c:cat>
          <c:val>
            <c:numRef>
              <c:f>Servicing!$E$30:$E$62</c:f>
              <c:numCache>
                <c:formatCode>General</c:formatCode>
                <c:ptCount val="33"/>
                <c:pt idx="0">
                  <c:v>20386.5</c:v>
                </c:pt>
                <c:pt idx="1">
                  <c:v>21124</c:v>
                </c:pt>
                <c:pt idx="2">
                  <c:v>21883.5</c:v>
                </c:pt>
                <c:pt idx="3">
                  <c:v>23069.5</c:v>
                </c:pt>
                <c:pt idx="4">
                  <c:v>23744.2</c:v>
                </c:pt>
                <c:pt idx="5">
                  <c:v>24774.100000000002</c:v>
                </c:pt>
                <c:pt idx="6">
                  <c:v>25462.800000000003</c:v>
                </c:pt>
                <c:pt idx="7">
                  <c:v>26226.600000000002</c:v>
                </c:pt>
                <c:pt idx="8">
                  <c:v>26706.300000000003</c:v>
                </c:pt>
                <c:pt idx="9">
                  <c:v>27068.800000000003</c:v>
                </c:pt>
                <c:pt idx="10">
                  <c:v>28142.400000000001</c:v>
                </c:pt>
                <c:pt idx="11">
                  <c:v>28853.800000000003</c:v>
                </c:pt>
                <c:pt idx="12">
                  <c:v>29546.400000000001</c:v>
                </c:pt>
                <c:pt idx="13">
                  <c:v>30216</c:v>
                </c:pt>
                <c:pt idx="14">
                  <c:v>30909.9</c:v>
                </c:pt>
                <c:pt idx="15">
                  <c:v>32096.100000000002</c:v>
                </c:pt>
                <c:pt idx="16">
                  <c:v>32868.9</c:v>
                </c:pt>
                <c:pt idx="17">
                  <c:v>33858.300000000003</c:v>
                </c:pt>
                <c:pt idx="18">
                  <c:v>34561.4</c:v>
                </c:pt>
                <c:pt idx="19">
                  <c:v>35656.1</c:v>
                </c:pt>
                <c:pt idx="20">
                  <c:v>36706.799999999996</c:v>
                </c:pt>
                <c:pt idx="21">
                  <c:v>37439.999999999993</c:v>
                </c:pt>
                <c:pt idx="22">
                  <c:v>38779.099999999991</c:v>
                </c:pt>
                <c:pt idx="23">
                  <c:v>39083.799999999988</c:v>
                </c:pt>
                <c:pt idx="24">
                  <c:v>40060.899999999987</c:v>
                </c:pt>
                <c:pt idx="25">
                  <c:v>40060.899999999987</c:v>
                </c:pt>
                <c:pt idx="26">
                  <c:v>40060.899999999987</c:v>
                </c:pt>
                <c:pt idx="27">
                  <c:v>40060.899999999987</c:v>
                </c:pt>
                <c:pt idx="28">
                  <c:v>40060.899999999987</c:v>
                </c:pt>
                <c:pt idx="29">
                  <c:v>40060.899999999987</c:v>
                </c:pt>
                <c:pt idx="30">
                  <c:v>40060.899999999987</c:v>
                </c:pt>
                <c:pt idx="31">
                  <c:v>40060.899999999987</c:v>
                </c:pt>
                <c:pt idx="32">
                  <c:v>40060.899999999987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6-4947-B198-2AEFFFF478DA}"/>
            </c:ext>
          </c:extLst>
        </c:ser>
        <c:ser>
          <c:idx val="1"/>
          <c:order val="1"/>
          <c:tx>
            <c:strRef>
              <c:f>Servicing!$F$29</c:f>
              <c:strCache>
                <c:ptCount val="1"/>
                <c:pt idx="0">
                  <c:v>Service Mileage</c:v>
                </c:pt>
              </c:strCache>
            </c:strRef>
          </c:tx>
          <c:marker>
            <c:symbol val="none"/>
          </c:marker>
          <c:cat>
            <c:strRef>
              <c:f>Servicing!$B$30:$B$62</c:f>
              <c:strCache>
                <c:ptCount val="33"/>
                <c:pt idx="0">
                  <c:v>Jul-16</c:v>
                </c:pt>
                <c:pt idx="1">
                  <c:v>Aug-16</c:v>
                </c:pt>
                <c:pt idx="2">
                  <c:v>Sept-16</c:v>
                </c:pt>
                <c:pt idx="3">
                  <c:v>Oct-16</c:v>
                </c:pt>
                <c:pt idx="4">
                  <c:v>Nov-16</c:v>
                </c:pt>
                <c:pt idx="5">
                  <c:v>Dec-16</c:v>
                </c:pt>
                <c:pt idx="6">
                  <c:v>Jan-17</c:v>
                </c:pt>
                <c:pt idx="7">
                  <c:v>Feb-17</c:v>
                </c:pt>
                <c:pt idx="8">
                  <c:v>Mar-17</c:v>
                </c:pt>
                <c:pt idx="9">
                  <c:v>Apr-17</c:v>
                </c:pt>
                <c:pt idx="10">
                  <c:v>May-17</c:v>
                </c:pt>
                <c:pt idx="11">
                  <c:v>Jun-17</c:v>
                </c:pt>
                <c:pt idx="12">
                  <c:v>Jul-17</c:v>
                </c:pt>
                <c:pt idx="13">
                  <c:v>Aug-17</c:v>
                </c:pt>
                <c:pt idx="14">
                  <c:v>Sept-17</c:v>
                </c:pt>
                <c:pt idx="15">
                  <c:v>Oct-17</c:v>
                </c:pt>
                <c:pt idx="16">
                  <c:v>Nov-17</c:v>
                </c:pt>
                <c:pt idx="17">
                  <c:v>Dec-17</c:v>
                </c:pt>
                <c:pt idx="18">
                  <c:v>Jan-18</c:v>
                </c:pt>
                <c:pt idx="19">
                  <c:v>Feb-18</c:v>
                </c:pt>
                <c:pt idx="20">
                  <c:v>Mar-18</c:v>
                </c:pt>
                <c:pt idx="21">
                  <c:v>Apr-18</c:v>
                </c:pt>
                <c:pt idx="22">
                  <c:v>May-18</c:v>
                </c:pt>
                <c:pt idx="23">
                  <c:v>Jun-18</c:v>
                </c:pt>
                <c:pt idx="24">
                  <c:v>Jul-18</c:v>
                </c:pt>
                <c:pt idx="25">
                  <c:v>Aug-18</c:v>
                </c:pt>
                <c:pt idx="26">
                  <c:v>Sept-18</c:v>
                </c:pt>
                <c:pt idx="27">
                  <c:v>Oct-18</c:v>
                </c:pt>
                <c:pt idx="28">
                  <c:v>Nob-18</c:v>
                </c:pt>
                <c:pt idx="29">
                  <c:v>Dec-18</c:v>
                </c:pt>
                <c:pt idx="30">
                  <c:v>Jan-19</c:v>
                </c:pt>
                <c:pt idx="31">
                  <c:v>Feb-19</c:v>
                </c:pt>
                <c:pt idx="32">
                  <c:v>Mar-19</c:v>
                </c:pt>
              </c:strCache>
            </c:strRef>
          </c:cat>
          <c:val>
            <c:numRef>
              <c:f>Servicing!$F$30:$F$62</c:f>
              <c:numCache>
                <c:formatCode>General</c:formatCode>
                <c:ptCount val="33"/>
                <c:pt idx="0">
                  <c:v>27841</c:v>
                </c:pt>
                <c:pt idx="1">
                  <c:v>27841</c:v>
                </c:pt>
                <c:pt idx="2">
                  <c:v>27841</c:v>
                </c:pt>
                <c:pt idx="3">
                  <c:v>27841</c:v>
                </c:pt>
                <c:pt idx="4">
                  <c:v>27841</c:v>
                </c:pt>
                <c:pt idx="5">
                  <c:v>27841</c:v>
                </c:pt>
                <c:pt idx="6">
                  <c:v>27841</c:v>
                </c:pt>
                <c:pt idx="7">
                  <c:v>27841</c:v>
                </c:pt>
                <c:pt idx="8">
                  <c:v>36231</c:v>
                </c:pt>
                <c:pt idx="9">
                  <c:v>36231</c:v>
                </c:pt>
                <c:pt idx="10">
                  <c:v>36232</c:v>
                </c:pt>
                <c:pt idx="11">
                  <c:v>36233</c:v>
                </c:pt>
                <c:pt idx="12">
                  <c:v>36231</c:v>
                </c:pt>
                <c:pt idx="13">
                  <c:v>36231</c:v>
                </c:pt>
                <c:pt idx="14">
                  <c:v>36231</c:v>
                </c:pt>
                <c:pt idx="15">
                  <c:v>36231</c:v>
                </c:pt>
                <c:pt idx="16">
                  <c:v>36231</c:v>
                </c:pt>
                <c:pt idx="17">
                  <c:v>36231</c:v>
                </c:pt>
                <c:pt idx="18">
                  <c:v>36231</c:v>
                </c:pt>
                <c:pt idx="19">
                  <c:v>36231</c:v>
                </c:pt>
                <c:pt idx="20">
                  <c:v>45228</c:v>
                </c:pt>
                <c:pt idx="21">
                  <c:v>45228</c:v>
                </c:pt>
                <c:pt idx="22">
                  <c:v>45228</c:v>
                </c:pt>
                <c:pt idx="23">
                  <c:v>45228</c:v>
                </c:pt>
                <c:pt idx="24">
                  <c:v>45228</c:v>
                </c:pt>
                <c:pt idx="25">
                  <c:v>45228</c:v>
                </c:pt>
                <c:pt idx="26">
                  <c:v>45228</c:v>
                </c:pt>
                <c:pt idx="27">
                  <c:v>45228</c:v>
                </c:pt>
                <c:pt idx="28">
                  <c:v>45228</c:v>
                </c:pt>
                <c:pt idx="29">
                  <c:v>45228</c:v>
                </c:pt>
                <c:pt idx="30">
                  <c:v>45228</c:v>
                </c:pt>
                <c:pt idx="31">
                  <c:v>45228</c:v>
                </c:pt>
                <c:pt idx="32">
                  <c:v>45228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A6-4947-B198-2AEFFFF478DA}"/>
            </c:ext>
          </c:extLst>
        </c:ser>
        <c:ser>
          <c:idx val="3"/>
          <c:order val="3"/>
          <c:tx>
            <c:strRef>
              <c:f>Servicing!$G$29</c:f>
              <c:strCache>
                <c:ptCount val="1"/>
                <c:pt idx="0">
                  <c:v>6mth Rolling Estimate</c:v>
                </c:pt>
              </c:strCache>
            </c:strRef>
          </c:tx>
          <c:spPr>
            <a:ln w="19050">
              <a:solidFill>
                <a:prstClr val="black">
                  <a:alpha val="53000"/>
                </a:prstClr>
              </a:solidFill>
            </a:ln>
          </c:spPr>
          <c:marker>
            <c:symbol val="none"/>
          </c:marker>
          <c:cat>
            <c:strRef>
              <c:f>Servicing!$B$30:$B$62</c:f>
              <c:strCache>
                <c:ptCount val="33"/>
                <c:pt idx="0">
                  <c:v>Jul-16</c:v>
                </c:pt>
                <c:pt idx="1">
                  <c:v>Aug-16</c:v>
                </c:pt>
                <c:pt idx="2">
                  <c:v>Sept-16</c:v>
                </c:pt>
                <c:pt idx="3">
                  <c:v>Oct-16</c:v>
                </c:pt>
                <c:pt idx="4">
                  <c:v>Nov-16</c:v>
                </c:pt>
                <c:pt idx="5">
                  <c:v>Dec-16</c:v>
                </c:pt>
                <c:pt idx="6">
                  <c:v>Jan-17</c:v>
                </c:pt>
                <c:pt idx="7">
                  <c:v>Feb-17</c:v>
                </c:pt>
                <c:pt idx="8">
                  <c:v>Mar-17</c:v>
                </c:pt>
                <c:pt idx="9">
                  <c:v>Apr-17</c:v>
                </c:pt>
                <c:pt idx="10">
                  <c:v>May-17</c:v>
                </c:pt>
                <c:pt idx="11">
                  <c:v>Jun-17</c:v>
                </c:pt>
                <c:pt idx="12">
                  <c:v>Jul-17</c:v>
                </c:pt>
                <c:pt idx="13">
                  <c:v>Aug-17</c:v>
                </c:pt>
                <c:pt idx="14">
                  <c:v>Sept-17</c:v>
                </c:pt>
                <c:pt idx="15">
                  <c:v>Oct-17</c:v>
                </c:pt>
                <c:pt idx="16">
                  <c:v>Nov-17</c:v>
                </c:pt>
                <c:pt idx="17">
                  <c:v>Dec-17</c:v>
                </c:pt>
                <c:pt idx="18">
                  <c:v>Jan-18</c:v>
                </c:pt>
                <c:pt idx="19">
                  <c:v>Feb-18</c:v>
                </c:pt>
                <c:pt idx="20">
                  <c:v>Mar-18</c:v>
                </c:pt>
                <c:pt idx="21">
                  <c:v>Apr-18</c:v>
                </c:pt>
                <c:pt idx="22">
                  <c:v>May-18</c:v>
                </c:pt>
                <c:pt idx="23">
                  <c:v>Jun-18</c:v>
                </c:pt>
                <c:pt idx="24">
                  <c:v>Jul-18</c:v>
                </c:pt>
                <c:pt idx="25">
                  <c:v>Aug-18</c:v>
                </c:pt>
                <c:pt idx="26">
                  <c:v>Sept-18</c:v>
                </c:pt>
                <c:pt idx="27">
                  <c:v>Oct-18</c:v>
                </c:pt>
                <c:pt idx="28">
                  <c:v>Nob-18</c:v>
                </c:pt>
                <c:pt idx="29">
                  <c:v>Dec-18</c:v>
                </c:pt>
                <c:pt idx="30">
                  <c:v>Jan-19</c:v>
                </c:pt>
                <c:pt idx="31">
                  <c:v>Feb-19</c:v>
                </c:pt>
                <c:pt idx="32">
                  <c:v>Mar-19</c:v>
                </c:pt>
              </c:strCache>
            </c:strRef>
          </c:cat>
          <c:val>
            <c:numRef>
              <c:f>Servicing!$G$30:$G$62</c:f>
              <c:numCache>
                <c:formatCode>General</c:formatCode>
                <c:ptCount val="33"/>
                <c:pt idx="5" formatCode="0">
                  <c:v>24774</c:v>
                </c:pt>
                <c:pt idx="6" formatCode="0">
                  <c:v>25635.683333333334</c:v>
                </c:pt>
                <c:pt idx="7" formatCode="0">
                  <c:v>26481.733333333334</c:v>
                </c:pt>
                <c:pt idx="8" formatCode="0">
                  <c:v>27332.166666666668</c:v>
                </c:pt>
                <c:pt idx="9" formatCode="0">
                  <c:v>28135.966666666667</c:v>
                </c:pt>
                <c:pt idx="10" formatCode="0">
                  <c:v>28802.516666666666</c:v>
                </c:pt>
                <c:pt idx="11" formatCode="0">
                  <c:v>29535.55</c:v>
                </c:pt>
                <c:pt idx="12" formatCode="0">
                  <c:v>30215.5</c:v>
                </c:pt>
                <c:pt idx="13" formatCode="0">
                  <c:v>30896.1</c:v>
                </c:pt>
                <c:pt idx="14" formatCode="0">
                  <c:v>31561</c:v>
                </c:pt>
                <c:pt idx="15" formatCode="0">
                  <c:v>32261.599999999999</c:v>
                </c:pt>
                <c:pt idx="16" formatCode="0">
                  <c:v>33099.48333333333</c:v>
                </c:pt>
                <c:pt idx="17" formatCode="0">
                  <c:v>33887.23333333333</c:v>
                </c:pt>
                <c:pt idx="18" formatCode="0">
                  <c:v>34721.316666666666</c:v>
                </c:pt>
                <c:pt idx="19" formatCode="0">
                  <c:v>35557.15</c:v>
                </c:pt>
                <c:pt idx="20" formatCode="0">
                  <c:v>36463.833333333336</c:v>
                </c:pt>
                <c:pt idx="21" formatCode="0">
                  <c:v>37429.983333333337</c:v>
                </c:pt>
                <c:pt idx="22" formatCode="0">
                  <c:v>38320.633333333339</c:v>
                </c:pt>
                <c:pt idx="23" formatCode="0">
                  <c:v>39305.666666666672</c:v>
                </c:pt>
                <c:pt idx="24" formatCode="0">
                  <c:v>40176.583333333336</c:v>
                </c:pt>
                <c:pt idx="25" formatCode="0">
                  <c:v>41093.166666666672</c:v>
                </c:pt>
                <c:pt idx="26" formatCode="0">
                  <c:v>41974.126666666671</c:v>
                </c:pt>
                <c:pt idx="27" formatCode="0">
                  <c:v>42812.651666666672</c:v>
                </c:pt>
                <c:pt idx="28" formatCode="0">
                  <c:v>43686.285000000003</c:v>
                </c:pt>
                <c:pt idx="29" formatCode="0">
                  <c:v>44327.185000000005</c:v>
                </c:pt>
                <c:pt idx="30" formatCode="0">
                  <c:v>45304.285000000003</c:v>
                </c:pt>
                <c:pt idx="31" formatCode="0">
                  <c:v>0</c:v>
                </c:pt>
                <c:pt idx="32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A6-4947-B198-2AEFFFF47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63776"/>
        <c:axId val="139565312"/>
      </c:lineChart>
      <c:dateAx>
        <c:axId val="139563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39565312"/>
        <c:crosses val="autoZero"/>
        <c:auto val="0"/>
        <c:lblOffset val="100"/>
        <c:baseTimeUnit val="days"/>
      </c:dateAx>
      <c:valAx>
        <c:axId val="139565312"/>
        <c:scaling>
          <c:orientation val="minMax"/>
          <c:max val="48000"/>
          <c:min val="19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563776"/>
        <c:crosses val="autoZero"/>
        <c:crossBetween val="between"/>
        <c:majorUnit val="1000"/>
        <c:minorUnit val="500"/>
      </c:valAx>
      <c:valAx>
        <c:axId val="139575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39576832"/>
        <c:crosses val="max"/>
        <c:crossBetween val="between"/>
      </c:valAx>
      <c:catAx>
        <c:axId val="139576832"/>
        <c:scaling>
          <c:orientation val="minMax"/>
        </c:scaling>
        <c:delete val="1"/>
        <c:axPos val="b"/>
        <c:majorTickMark val="out"/>
        <c:minorTickMark val="none"/>
        <c:tickLblPos val="none"/>
        <c:crossAx val="13957529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9524</xdr:colOff>
      <xdr:row>14</xdr:row>
      <xdr:rowOff>257174</xdr:rowOff>
    </xdr:from>
    <xdr:to>
      <xdr:col>37</xdr:col>
      <xdr:colOff>47625</xdr:colOff>
      <xdr:row>27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28</xdr:row>
      <xdr:rowOff>190500</xdr:rowOff>
    </xdr:from>
    <xdr:to>
      <xdr:col>37</xdr:col>
      <xdr:colOff>38101</xdr:colOff>
      <xdr:row>37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9526</xdr:colOff>
      <xdr:row>0</xdr:row>
      <xdr:rowOff>28576</xdr:rowOff>
    </xdr:from>
    <xdr:to>
      <xdr:col>3</xdr:col>
      <xdr:colOff>295275</xdr:colOff>
      <xdr:row>0</xdr:row>
      <xdr:rowOff>287151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6" y="28576"/>
          <a:ext cx="1238249" cy="258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3360</xdr:colOff>
      <xdr:row>1</xdr:row>
      <xdr:rowOff>28574</xdr:rowOff>
    </xdr:from>
    <xdr:to>
      <xdr:col>7</xdr:col>
      <xdr:colOff>942975</xdr:colOff>
      <xdr:row>27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96"/>
  <sheetViews>
    <sheetView showGridLines="0" tabSelected="1" workbookViewId="0">
      <pane ySplit="2" topLeftCell="A3" activePane="bottomLeft" state="frozen"/>
      <selection pane="bottomLeft" activeCell="Y1" sqref="Y1:Y1048576"/>
    </sheetView>
  </sheetViews>
  <sheetFormatPr defaultRowHeight="15" x14ac:dyDescent="0.25"/>
  <cols>
    <col min="1" max="1" width="0.85546875" customWidth="1"/>
    <col min="2" max="2" width="7.5703125" style="1" bestFit="1" customWidth="1"/>
    <col min="3" max="3" width="6.7109375" style="1" customWidth="1"/>
    <col min="4" max="4" width="5.28515625" style="1" customWidth="1"/>
    <col min="5" max="5" width="5.28515625" style="16" customWidth="1"/>
    <col min="6" max="6" width="4.85546875" style="1" bestFit="1" customWidth="1"/>
    <col min="7" max="7" width="7.42578125" style="1" bestFit="1" customWidth="1"/>
    <col min="8" max="8" width="5.7109375" style="1" customWidth="1"/>
    <col min="9" max="10" width="4.28515625" style="1" customWidth="1"/>
    <col min="11" max="11" width="4.5703125" style="1" customWidth="1"/>
    <col min="12" max="12" width="6.140625" style="1" customWidth="1"/>
    <col min="13" max="13" width="4.42578125" style="1" customWidth="1"/>
    <col min="14" max="14" width="4.85546875" style="1" customWidth="1"/>
    <col min="15" max="15" width="3.7109375" style="1" customWidth="1"/>
    <col min="16" max="16" width="6" style="1" customWidth="1"/>
    <col min="17" max="17" width="4.28515625" style="1" customWidth="1"/>
    <col min="18" max="19" width="4.42578125" style="1" customWidth="1"/>
    <col min="20" max="20" width="3.85546875" style="1" hidden="1" customWidth="1"/>
    <col min="21" max="21" width="4.42578125" style="1" hidden="1" customWidth="1"/>
    <col min="22" max="22" width="4" style="1" hidden="1" customWidth="1"/>
    <col min="23" max="24" width="4.42578125" style="1" customWidth="1"/>
    <col min="25" max="25" width="6.28515625" customWidth="1"/>
    <col min="26" max="26" width="1.5703125" customWidth="1"/>
    <col min="27" max="38" width="9.28515625" customWidth="1"/>
  </cols>
  <sheetData>
    <row r="1" spans="2:38" ht="24" customHeight="1" x14ac:dyDescent="0.25">
      <c r="B1" s="133" t="s">
        <v>54</v>
      </c>
      <c r="C1" s="133"/>
      <c r="D1" s="133"/>
      <c r="E1" s="133"/>
      <c r="F1" s="133"/>
      <c r="G1" s="133"/>
      <c r="H1" s="133"/>
      <c r="I1" s="133"/>
      <c r="J1" s="133"/>
      <c r="K1" s="133"/>
      <c r="L1" s="74"/>
      <c r="M1" s="134" t="s">
        <v>8</v>
      </c>
      <c r="N1" s="134"/>
      <c r="O1" s="134"/>
      <c r="P1" s="5">
        <f>19520+84</f>
        <v>19604</v>
      </c>
      <c r="Q1" s="5" t="s">
        <v>9</v>
      </c>
      <c r="R1" s="5"/>
      <c r="S1" s="135"/>
      <c r="T1" s="135"/>
      <c r="U1" s="174"/>
      <c r="V1" s="174"/>
      <c r="W1" s="73"/>
      <c r="X1" s="73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2:38" s="2" customFormat="1" ht="34.5" thickBot="1" x14ac:dyDescent="0.3">
      <c r="B2" s="14" t="s">
        <v>0</v>
      </c>
      <c r="C2" s="14" t="s">
        <v>16</v>
      </c>
      <c r="D2" s="14" t="s">
        <v>1</v>
      </c>
      <c r="E2" s="15" t="s">
        <v>15</v>
      </c>
      <c r="F2" s="14" t="s">
        <v>2</v>
      </c>
      <c r="G2" s="6" t="s">
        <v>7</v>
      </c>
      <c r="H2" s="6" t="s">
        <v>5</v>
      </c>
      <c r="I2" s="6" t="s">
        <v>70</v>
      </c>
      <c r="J2" s="6" t="s">
        <v>65</v>
      </c>
      <c r="K2" s="42" t="s">
        <v>59</v>
      </c>
      <c r="L2" s="76" t="s">
        <v>95</v>
      </c>
      <c r="M2" s="76" t="s">
        <v>66</v>
      </c>
      <c r="N2" s="30" t="s">
        <v>67</v>
      </c>
      <c r="O2" s="6" t="s">
        <v>68</v>
      </c>
      <c r="P2" s="6" t="s">
        <v>69</v>
      </c>
      <c r="Q2" s="30" t="s">
        <v>60</v>
      </c>
      <c r="R2" s="30" t="s">
        <v>60</v>
      </c>
      <c r="S2" s="30" t="s">
        <v>61</v>
      </c>
      <c r="T2" s="6" t="s">
        <v>56</v>
      </c>
      <c r="U2" s="6" t="s">
        <v>57</v>
      </c>
      <c r="V2" s="6" t="s">
        <v>58</v>
      </c>
      <c r="W2" s="30" t="s">
        <v>52</v>
      </c>
      <c r="X2" s="30" t="s">
        <v>94</v>
      </c>
      <c r="Y2" s="3"/>
      <c r="Z2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/>
    </row>
    <row r="3" spans="2:38" s="2" customFormat="1" ht="24" customHeight="1" x14ac:dyDescent="0.25">
      <c r="B3" s="45">
        <v>42554</v>
      </c>
      <c r="C3" s="18" t="s">
        <v>4</v>
      </c>
      <c r="D3" s="7" t="s">
        <v>4</v>
      </c>
      <c r="E3" s="17"/>
      <c r="F3" s="70">
        <v>28.65</v>
      </c>
      <c r="G3" s="8">
        <v>1.1190226876090752</v>
      </c>
      <c r="H3" s="9">
        <f>G3*F3</f>
        <v>32.06</v>
      </c>
      <c r="I3" s="10" t="s">
        <v>4</v>
      </c>
      <c r="J3" s="41" t="s">
        <v>4</v>
      </c>
      <c r="K3" s="43" t="str">
        <f>IFERROR(D3/(F3/4.54609188),"-")</f>
        <v>-</v>
      </c>
      <c r="L3" s="78" t="str">
        <f>IFERROR(K3/$AC$4,"-")</f>
        <v>-</v>
      </c>
      <c r="M3" s="12" t="s">
        <v>4</v>
      </c>
      <c r="N3" s="12" t="s">
        <v>4</v>
      </c>
      <c r="O3" s="11" t="s">
        <v>4</v>
      </c>
      <c r="P3" s="31" t="s">
        <v>4</v>
      </c>
      <c r="Q3" s="12" t="s">
        <v>4</v>
      </c>
      <c r="R3" s="12" t="s">
        <v>4</v>
      </c>
      <c r="S3" s="12" t="s">
        <v>4</v>
      </c>
      <c r="T3" s="13">
        <v>12</v>
      </c>
      <c r="U3" s="13">
        <v>17</v>
      </c>
      <c r="V3" s="12">
        <f>AVERAGE(U3,T3)</f>
        <v>14.5</v>
      </c>
      <c r="W3" s="12" t="s">
        <v>4</v>
      </c>
      <c r="X3" s="12" t="s">
        <v>4</v>
      </c>
      <c r="Y3" s="4"/>
      <c r="Z3"/>
      <c r="AA3"/>
      <c r="AB3"/>
      <c r="AC3"/>
      <c r="AD3"/>
      <c r="AE3"/>
      <c r="AF3"/>
      <c r="AG3"/>
      <c r="AH3"/>
      <c r="AI3"/>
      <c r="AJ3"/>
      <c r="AK3"/>
    </row>
    <row r="4" spans="2:38" s="2" customFormat="1" ht="24" customHeight="1" x14ac:dyDescent="0.25">
      <c r="B4" s="45">
        <v>42567</v>
      </c>
      <c r="C4" s="18" t="s">
        <v>19</v>
      </c>
      <c r="D4" s="10">
        <v>382.4</v>
      </c>
      <c r="E4" s="34">
        <f>P1+D4</f>
        <v>19986.400000000001</v>
      </c>
      <c r="F4" s="70">
        <v>31.95</v>
      </c>
      <c r="G4" s="8">
        <v>1.1189358372456963</v>
      </c>
      <c r="H4" s="9">
        <f t="shared" ref="H4:H26" si="0">G4*F4</f>
        <v>35.75</v>
      </c>
      <c r="I4" s="10">
        <v>57.7</v>
      </c>
      <c r="J4" s="41">
        <f>SUM(I$3:$I4)/COUNT(I$3:$I4)</f>
        <v>57.7</v>
      </c>
      <c r="K4" s="44">
        <f>IFERROR(D4/(F4/4.54609),"-")</f>
        <v>54.410792363067294</v>
      </c>
      <c r="L4" s="78">
        <f>IFERROR(K4/$AC$4,"-")</f>
        <v>0.78970671063958331</v>
      </c>
      <c r="M4" s="12" t="s">
        <v>4</v>
      </c>
      <c r="N4" s="12">
        <f>SUM(K$4:$K4)/COUNT(K$4:$K4)</f>
        <v>54.410792363067294</v>
      </c>
      <c r="O4" s="11">
        <f t="shared" ref="O4:O35" si="1">IFERROR(I4-K4,"-")</f>
        <v>3.2892076369327086</v>
      </c>
      <c r="P4" s="31">
        <f t="shared" ref="P4:P35" si="2">IFERROR((I4-K4)/K4,"-")</f>
        <v>6.045138278789966E-2</v>
      </c>
      <c r="Q4" s="12">
        <f>SUM($O$4:O4)/COUNT($O$4:O4)</f>
        <v>3.2892076369327086</v>
      </c>
      <c r="R4" s="32">
        <f>SUM(P$4:$P4)/COUNT(P$4:$P4)</f>
        <v>6.045138278789966E-2</v>
      </c>
      <c r="S4" s="12" t="s">
        <v>4</v>
      </c>
      <c r="T4" s="13">
        <v>12</v>
      </c>
      <c r="U4" s="13">
        <v>22</v>
      </c>
      <c r="V4" s="12">
        <f t="shared" ref="V4:V14" si="3">AVERAGE(U4,T4)</f>
        <v>17</v>
      </c>
      <c r="W4" s="12">
        <v>16.8</v>
      </c>
      <c r="X4" s="12" t="s">
        <v>4</v>
      </c>
      <c r="Y4" s="4"/>
      <c r="Z4"/>
      <c r="AA4" s="140" t="s">
        <v>113</v>
      </c>
      <c r="AB4" s="140"/>
      <c r="AC4" s="75">
        <v>68.900000000000006</v>
      </c>
      <c r="AE4" s="107" t="s">
        <v>121</v>
      </c>
      <c r="AF4" s="108">
        <f>COUNT(G3:G74)</f>
        <v>63</v>
      </c>
    </row>
    <row r="5" spans="2:38" s="2" customFormat="1" ht="24" customHeight="1" x14ac:dyDescent="0.25">
      <c r="B5" s="45">
        <v>42582</v>
      </c>
      <c r="C5" s="18" t="s">
        <v>19</v>
      </c>
      <c r="D5" s="10">
        <v>400.1</v>
      </c>
      <c r="E5" s="34">
        <f t="shared" ref="E5:E52" si="4">E4+D5</f>
        <v>20386.5</v>
      </c>
      <c r="F5" s="70">
        <v>32.21</v>
      </c>
      <c r="G5" s="8">
        <v>1.1189071716858119</v>
      </c>
      <c r="H5" s="9">
        <f t="shared" si="0"/>
        <v>36.04</v>
      </c>
      <c r="I5" s="10">
        <v>59.6</v>
      </c>
      <c r="J5" s="41">
        <f>SUM(I$3:$I5)/COUNT(I$3:$I5)</f>
        <v>58.650000000000006</v>
      </c>
      <c r="K5" s="44">
        <f t="shared" ref="K5:K19" si="5">IFERROR(D5/(F5/4.54609),"-")</f>
        <v>56.469748804719039</v>
      </c>
      <c r="L5" s="78">
        <f>IFERROR(K5/$AC$4,"-")</f>
        <v>0.81958996813815721</v>
      </c>
      <c r="M5" s="12" t="s">
        <v>4</v>
      </c>
      <c r="N5" s="12">
        <f>SUM(K$4:$K5)/COUNT(K$4:$K5)</f>
        <v>55.440270583893167</v>
      </c>
      <c r="O5" s="11">
        <f t="shared" si="1"/>
        <v>3.1302511952809624</v>
      </c>
      <c r="P5" s="31">
        <f t="shared" si="2"/>
        <v>5.5432355580433801E-2</v>
      </c>
      <c r="Q5" s="12">
        <f>SUM($O$4:O5)/COUNT($O$4:O5)</f>
        <v>3.2097294161068355</v>
      </c>
      <c r="R5" s="32">
        <f>SUM(P$4:$P5)/COUNT(P$4:$P5)</f>
        <v>5.794186918416673E-2</v>
      </c>
      <c r="S5" s="12" t="s">
        <v>4</v>
      </c>
      <c r="T5" s="13">
        <v>13</v>
      </c>
      <c r="U5" s="13">
        <v>29</v>
      </c>
      <c r="V5" s="12">
        <f t="shared" si="3"/>
        <v>21</v>
      </c>
      <c r="W5" s="12">
        <v>19</v>
      </c>
      <c r="X5" s="12" t="s">
        <v>4</v>
      </c>
      <c r="Y5" s="4"/>
      <c r="Z5"/>
      <c r="AG5" s="21"/>
    </row>
    <row r="6" spans="2:38" s="2" customFormat="1" ht="24" customHeight="1" x14ac:dyDescent="0.25">
      <c r="B6" s="45">
        <v>42599</v>
      </c>
      <c r="C6" s="18" t="s">
        <v>20</v>
      </c>
      <c r="D6" s="10">
        <v>427</v>
      </c>
      <c r="E6" s="34">
        <f t="shared" si="4"/>
        <v>20813.5</v>
      </c>
      <c r="F6" s="70">
        <v>35.24</v>
      </c>
      <c r="G6" s="8">
        <v>1.0891032917139614</v>
      </c>
      <c r="H6" s="9">
        <f t="shared" si="0"/>
        <v>38.380000000000003</v>
      </c>
      <c r="I6" s="10">
        <v>60.3</v>
      </c>
      <c r="J6" s="41">
        <f>SUM(I$3:$I6)/COUNT(I$3:$I6)</f>
        <v>59.20000000000001</v>
      </c>
      <c r="K6" s="44">
        <f t="shared" si="5"/>
        <v>55.084575198637914</v>
      </c>
      <c r="L6" s="78">
        <f>IFERROR(K6/$AC$4,"-")</f>
        <v>0.79948585193959232</v>
      </c>
      <c r="M6" s="12">
        <f>SUM(K4:K6)/3</f>
        <v>55.321705455474749</v>
      </c>
      <c r="N6" s="12">
        <f>SUM(K$4:$K6)/COUNT(K$4:$K6)</f>
        <v>55.321705455474749</v>
      </c>
      <c r="O6" s="11">
        <f t="shared" si="1"/>
        <v>5.215424801362083</v>
      </c>
      <c r="P6" s="31">
        <f t="shared" si="2"/>
        <v>9.4680312638428868E-2</v>
      </c>
      <c r="Q6" s="12">
        <f>SUM($O$4:O6)/COUNT($O$4:O6)</f>
        <v>3.8782945445252515</v>
      </c>
      <c r="R6" s="32">
        <f>SUM(P$4:$P6)/COUNT(P$4:$P6)</f>
        <v>7.0188017002254119E-2</v>
      </c>
      <c r="S6" s="12">
        <f>SUM(O4:O6)/3</f>
        <v>3.8782945445252515</v>
      </c>
      <c r="T6" s="13">
        <v>11</v>
      </c>
      <c r="U6" s="13">
        <v>30</v>
      </c>
      <c r="V6" s="12">
        <f t="shared" si="3"/>
        <v>20.5</v>
      </c>
      <c r="W6" s="12">
        <v>17.600000000000001</v>
      </c>
      <c r="X6" s="12">
        <f>SUM(W4:W6)/3</f>
        <v>17.8</v>
      </c>
      <c r="Y6" s="4"/>
      <c r="Z6"/>
      <c r="AA6" s="136" t="s">
        <v>11</v>
      </c>
      <c r="AB6" s="137"/>
      <c r="AC6" s="138">
        <f>P1+AA12</f>
        <v>40060.9</v>
      </c>
      <c r="AD6" s="139"/>
      <c r="AE6" s="136" t="s">
        <v>12</v>
      </c>
      <c r="AF6" s="137"/>
      <c r="AG6" s="138">
        <f>45228-AC6</f>
        <v>5167.0999999999985</v>
      </c>
      <c r="AH6" s="139"/>
      <c r="AI6" s="141" t="s">
        <v>42</v>
      </c>
      <c r="AJ6" s="142"/>
    </row>
    <row r="7" spans="2:38" s="2" customFormat="1" ht="24" customHeight="1" x14ac:dyDescent="0.25">
      <c r="B7" s="45">
        <v>42607</v>
      </c>
      <c r="C7" s="18" t="s">
        <v>20</v>
      </c>
      <c r="D7" s="10">
        <v>134.80000000000001</v>
      </c>
      <c r="E7" s="34">
        <f t="shared" si="4"/>
        <v>20948.3</v>
      </c>
      <c r="F7" s="70">
        <v>10.25</v>
      </c>
      <c r="G7" s="8">
        <v>1.0985365853658537</v>
      </c>
      <c r="H7" s="9">
        <f t="shared" si="0"/>
        <v>11.260000000000002</v>
      </c>
      <c r="I7" s="10">
        <v>55.9</v>
      </c>
      <c r="J7" s="41">
        <f>SUM(I$3:$I7)/COUNT(I$3:$I7)</f>
        <v>58.375000000000007</v>
      </c>
      <c r="K7" s="44">
        <f t="shared" si="5"/>
        <v>59.786627512195139</v>
      </c>
      <c r="L7" s="78">
        <f>IFERROR(K7/$AC$4,"-")</f>
        <v>0.86773044284753464</v>
      </c>
      <c r="M7" s="12">
        <f>SUM(K5:K7)/3</f>
        <v>57.113650505184033</v>
      </c>
      <c r="N7" s="12">
        <f>SUM(K$4:$K7)/COUNT(K$4:$K7)</f>
        <v>56.437935969654845</v>
      </c>
      <c r="O7" s="11">
        <f t="shared" si="1"/>
        <v>-3.8866275121951404</v>
      </c>
      <c r="P7" s="31">
        <f t="shared" si="2"/>
        <v>-6.5008308277672205E-2</v>
      </c>
      <c r="Q7" s="12">
        <f>SUM($O$4:O7)/COUNT($O$4:O7)</f>
        <v>1.9370640303451534</v>
      </c>
      <c r="R7" s="32">
        <f>SUM(P$4:$P7)/COUNT(P$4:$P7)</f>
        <v>3.6388935682272534E-2</v>
      </c>
      <c r="S7" s="12">
        <f t="shared" ref="S7:S39" si="6">SUM(O5:O7)/3</f>
        <v>1.4863494948159683</v>
      </c>
      <c r="T7" s="13">
        <v>15</v>
      </c>
      <c r="U7" s="13">
        <v>30</v>
      </c>
      <c r="V7" s="12">
        <f t="shared" si="3"/>
        <v>22.5</v>
      </c>
      <c r="W7" s="12">
        <v>19</v>
      </c>
      <c r="X7" s="12">
        <f t="shared" ref="X7:X52" si="7">SUM(W5:W7)/3</f>
        <v>18.533333333333335</v>
      </c>
      <c r="Y7" s="4"/>
      <c r="Z7"/>
      <c r="AA7" s="136" t="s">
        <v>64</v>
      </c>
      <c r="AB7" s="137"/>
      <c r="AC7" s="136" t="s">
        <v>63</v>
      </c>
      <c r="AD7" s="137"/>
      <c r="AE7" s="163" t="s">
        <v>75</v>
      </c>
      <c r="AF7" s="163"/>
      <c r="AG7" s="163" t="s">
        <v>76</v>
      </c>
      <c r="AH7" s="163"/>
      <c r="AI7" s="143" t="s">
        <v>43</v>
      </c>
      <c r="AJ7" s="143"/>
    </row>
    <row r="8" spans="2:38" s="2" customFormat="1" ht="24" customHeight="1" x14ac:dyDescent="0.25">
      <c r="B8" s="45">
        <v>42608</v>
      </c>
      <c r="C8" s="18" t="s">
        <v>20</v>
      </c>
      <c r="D8" s="10">
        <v>175.7</v>
      </c>
      <c r="E8" s="34">
        <f t="shared" si="4"/>
        <v>21124</v>
      </c>
      <c r="F8" s="70">
        <v>13.07</v>
      </c>
      <c r="G8" s="8">
        <v>1.0688599846977811</v>
      </c>
      <c r="H8" s="9">
        <f t="shared" si="0"/>
        <v>13.969999999999999</v>
      </c>
      <c r="I8" s="10">
        <v>61.6</v>
      </c>
      <c r="J8" s="41">
        <f>SUM(I$3:$I8)/COUNT(I$3:$I8)</f>
        <v>59.02</v>
      </c>
      <c r="K8" s="44">
        <f t="shared" si="5"/>
        <v>61.113084391736798</v>
      </c>
      <c r="L8" s="78">
        <f>IFERROR(K8/$AC$4,"-")</f>
        <v>0.88698235691925675</v>
      </c>
      <c r="M8" s="12">
        <f>SUM(K6:K8)/3</f>
        <v>58.66142903418995</v>
      </c>
      <c r="N8" s="12">
        <f>SUM(K$4:$K8)/COUNT(K$4:$K8)</f>
        <v>57.37296565407123</v>
      </c>
      <c r="O8" s="11">
        <f t="shared" si="1"/>
        <v>0.48691560826320313</v>
      </c>
      <c r="P8" s="31">
        <f t="shared" si="2"/>
        <v>7.9674526839794025E-3</v>
      </c>
      <c r="Q8" s="12">
        <f>SUM($O$4:O8)/COUNT($O$4:O8)</f>
        <v>1.6470343459287633</v>
      </c>
      <c r="R8" s="32">
        <f>SUM(P$4:$P8)/COUNT(P$4:$P8)</f>
        <v>3.0704639082613911E-2</v>
      </c>
      <c r="S8" s="12">
        <f t="shared" si="6"/>
        <v>0.60523763247671525</v>
      </c>
      <c r="T8" s="13">
        <v>17</v>
      </c>
      <c r="U8" s="13">
        <v>20</v>
      </c>
      <c r="V8" s="12">
        <f t="shared" si="3"/>
        <v>18.5</v>
      </c>
      <c r="W8" s="12">
        <v>18.2</v>
      </c>
      <c r="X8" s="12">
        <f t="shared" si="7"/>
        <v>18.266666666666666</v>
      </c>
      <c r="Y8" s="4"/>
      <c r="Z8"/>
      <c r="AA8" s="187">
        <f>N75</f>
        <v>52.204183609098315</v>
      </c>
      <c r="AB8" s="188"/>
      <c r="AC8" s="187">
        <f>J75</f>
        <v>56.275806451612901</v>
      </c>
      <c r="AD8" s="188"/>
      <c r="AE8" s="151">
        <f>Q75</f>
        <v>4.0716228425145848</v>
      </c>
      <c r="AF8" s="152"/>
      <c r="AG8" s="157">
        <f>R75</f>
        <v>7.889814233379891E-2</v>
      </c>
      <c r="AH8" s="158"/>
      <c r="AI8" s="144">
        <v>43515</v>
      </c>
      <c r="AJ8" s="145"/>
    </row>
    <row r="9" spans="2:38" s="2" customFormat="1" ht="24" customHeight="1" x14ac:dyDescent="0.25">
      <c r="B9" s="45">
        <v>42616</v>
      </c>
      <c r="C9" s="18" t="s">
        <v>21</v>
      </c>
      <c r="D9" s="10">
        <v>350.6</v>
      </c>
      <c r="E9" s="34">
        <f t="shared" si="4"/>
        <v>21474.6</v>
      </c>
      <c r="F9" s="70">
        <v>30.38</v>
      </c>
      <c r="G9" s="8">
        <v>1.099078341013825</v>
      </c>
      <c r="H9" s="9">
        <f t="shared" si="0"/>
        <v>33.39</v>
      </c>
      <c r="I9" s="10">
        <v>58.1</v>
      </c>
      <c r="J9" s="41">
        <f>SUM(I$3:$I9)/COUNT(I$3:$I9)</f>
        <v>58.866666666666674</v>
      </c>
      <c r="K9" s="44">
        <f t="shared" si="5"/>
        <v>52.464093285055974</v>
      </c>
      <c r="L9" s="78">
        <f>IFERROR(K9/$AC$4,"-")</f>
        <v>0.7614527327294045</v>
      </c>
      <c r="M9" s="12">
        <f t="shared" ref="M9:M15" si="8">SUM(K7:K9)/3</f>
        <v>57.787935062995977</v>
      </c>
      <c r="N9" s="12">
        <f>SUM(K$4:$K9)/COUNT(K$4:$K9)</f>
        <v>56.554820259235356</v>
      </c>
      <c r="O9" s="11">
        <f t="shared" si="1"/>
        <v>5.6359067149440278</v>
      </c>
      <c r="P9" s="31">
        <f t="shared" si="2"/>
        <v>0.1074240754399805</v>
      </c>
      <c r="Q9" s="12">
        <f>SUM($O$4:O9)/COUNT($O$4:O9)</f>
        <v>2.3118464074313074</v>
      </c>
      <c r="R9" s="32">
        <f>SUM(P$4:$P9)/COUNT(P$4:$P9)</f>
        <v>4.3491211808841669E-2</v>
      </c>
      <c r="S9" s="12">
        <f t="shared" si="6"/>
        <v>0.7453982703373635</v>
      </c>
      <c r="T9" s="13">
        <v>13</v>
      </c>
      <c r="U9" s="13">
        <v>24</v>
      </c>
      <c r="V9" s="12">
        <f t="shared" si="3"/>
        <v>18.5</v>
      </c>
      <c r="W9" s="12">
        <v>17.7</v>
      </c>
      <c r="X9" s="12">
        <f t="shared" si="7"/>
        <v>18.3</v>
      </c>
      <c r="Y9" s="4"/>
      <c r="Z9"/>
      <c r="AA9" s="189"/>
      <c r="AB9" s="190"/>
      <c r="AC9" s="189"/>
      <c r="AD9" s="190"/>
      <c r="AE9" s="153"/>
      <c r="AF9" s="154"/>
      <c r="AG9" s="159"/>
      <c r="AH9" s="160"/>
      <c r="AI9" s="146"/>
      <c r="AJ9" s="147"/>
    </row>
    <row r="10" spans="2:38" s="2" customFormat="1" ht="24" customHeight="1" x14ac:dyDescent="0.25">
      <c r="B10" s="45">
        <v>42634</v>
      </c>
      <c r="C10" s="18" t="s">
        <v>21</v>
      </c>
      <c r="D10" s="10">
        <v>408.9</v>
      </c>
      <c r="E10" s="34">
        <f t="shared" si="4"/>
        <v>21883.5</v>
      </c>
      <c r="F10" s="70">
        <v>33.43</v>
      </c>
      <c r="G10" s="8">
        <v>1.1088842357164224</v>
      </c>
      <c r="H10" s="9">
        <f t="shared" si="0"/>
        <v>37.07</v>
      </c>
      <c r="I10" s="10">
        <v>59.2</v>
      </c>
      <c r="J10" s="41">
        <f>SUM(I$3:$I10)/COUNT(I$3:$I10)</f>
        <v>58.914285714285718</v>
      </c>
      <c r="K10" s="44">
        <f t="shared" si="5"/>
        <v>55.60562970385881</v>
      </c>
      <c r="L10" s="78">
        <f>IFERROR(K10/$AC$4,"-")</f>
        <v>0.80704832661623815</v>
      </c>
      <c r="M10" s="12">
        <f t="shared" si="8"/>
        <v>56.394269126883863</v>
      </c>
      <c r="N10" s="12">
        <f>SUM(K$4:$K10)/COUNT(K$4:$K10)</f>
        <v>56.419221608467282</v>
      </c>
      <c r="O10" s="11">
        <f t="shared" si="1"/>
        <v>3.594370296141193</v>
      </c>
      <c r="P10" s="31">
        <f t="shared" si="2"/>
        <v>6.4640402694545115E-2</v>
      </c>
      <c r="Q10" s="12">
        <f>SUM($O$4:O10)/COUNT($O$4:O10)</f>
        <v>2.4950641058184337</v>
      </c>
      <c r="R10" s="32">
        <f>SUM(P$4:$P10)/COUNT(P$4:$P10)</f>
        <v>4.6512524792513596E-2</v>
      </c>
      <c r="S10" s="12">
        <f t="shared" si="6"/>
        <v>3.2390642064494748</v>
      </c>
      <c r="T10" s="13">
        <v>11</v>
      </c>
      <c r="U10" s="13">
        <v>28</v>
      </c>
      <c r="V10" s="12">
        <f t="shared" si="3"/>
        <v>19.5</v>
      </c>
      <c r="W10" s="12">
        <v>17.7</v>
      </c>
      <c r="X10" s="12">
        <f t="shared" si="7"/>
        <v>17.866666666666664</v>
      </c>
      <c r="Y10" s="4"/>
      <c r="Z10"/>
      <c r="AA10" s="72">
        <f>AA8/AC4</f>
        <v>0.75768045876775492</v>
      </c>
      <c r="AB10" s="71" t="s">
        <v>90</v>
      </c>
      <c r="AC10" s="72">
        <f>AC8/AC4</f>
        <v>0.81677512992181267</v>
      </c>
      <c r="AD10" s="71" t="s">
        <v>90</v>
      </c>
      <c r="AE10" s="155"/>
      <c r="AF10" s="156"/>
      <c r="AG10" s="161"/>
      <c r="AH10" s="162"/>
      <c r="AI10" s="148"/>
      <c r="AJ10" s="149"/>
    </row>
    <row r="11" spans="2:38" s="2" customFormat="1" ht="24" customHeight="1" x14ac:dyDescent="0.25">
      <c r="B11" s="45">
        <v>42649</v>
      </c>
      <c r="C11" s="18" t="s">
        <v>22</v>
      </c>
      <c r="D11" s="10">
        <v>338.1</v>
      </c>
      <c r="E11" s="34">
        <f t="shared" si="4"/>
        <v>22221.599999999999</v>
      </c>
      <c r="F11" s="70">
        <v>29.53</v>
      </c>
      <c r="G11" s="8">
        <v>1.1198780900778869</v>
      </c>
      <c r="H11" s="9">
        <f t="shared" si="0"/>
        <v>33.07</v>
      </c>
      <c r="I11" s="10">
        <v>57.3</v>
      </c>
      <c r="J11" s="41">
        <f>SUM(I$3:$I11)/COUNT(I$3:$I11)</f>
        <v>58.712500000000006</v>
      </c>
      <c r="K11" s="44">
        <f t="shared" si="5"/>
        <v>52.04988245851677</v>
      </c>
      <c r="L11" s="78">
        <f>IFERROR(K11/$AC$4,"-")</f>
        <v>0.75544096456482968</v>
      </c>
      <c r="M11" s="12">
        <f t="shared" si="8"/>
        <v>53.373201815810518</v>
      </c>
      <c r="N11" s="12">
        <f>SUM(K$4:$K11)/COUNT(K$4:$K11)</f>
        <v>55.873054214723467</v>
      </c>
      <c r="O11" s="11">
        <f t="shared" si="1"/>
        <v>5.2501175414832275</v>
      </c>
      <c r="P11" s="31">
        <f t="shared" si="2"/>
        <v>0.10086703933803344</v>
      </c>
      <c r="Q11" s="12">
        <f>SUM($O$4:O11)/COUNT($O$4:O11)</f>
        <v>2.8394457852765331</v>
      </c>
      <c r="R11" s="32">
        <f>SUM(P$4:$P11)/COUNT(P$4:$P11)</f>
        <v>5.3306839110703573E-2</v>
      </c>
      <c r="S11" s="12">
        <f t="shared" si="6"/>
        <v>4.8267981841894825</v>
      </c>
      <c r="T11" s="13">
        <v>8</v>
      </c>
      <c r="U11" s="13">
        <v>23</v>
      </c>
      <c r="V11" s="12">
        <f t="shared" si="3"/>
        <v>15.5</v>
      </c>
      <c r="W11" s="12">
        <v>14.4</v>
      </c>
      <c r="X11" s="12">
        <f t="shared" si="7"/>
        <v>16.599999999999998</v>
      </c>
      <c r="Y11" s="4"/>
      <c r="Z11"/>
      <c r="AA11" s="136" t="s">
        <v>13</v>
      </c>
      <c r="AB11" s="137"/>
      <c r="AC11" s="136" t="s">
        <v>6</v>
      </c>
      <c r="AD11" s="137"/>
      <c r="AE11" s="136" t="s">
        <v>3</v>
      </c>
      <c r="AF11" s="137"/>
      <c r="AG11" s="163" t="s">
        <v>10</v>
      </c>
      <c r="AH11" s="163"/>
      <c r="AI11" s="150" t="s">
        <v>71</v>
      </c>
      <c r="AJ11" s="150"/>
    </row>
    <row r="12" spans="2:38" s="2" customFormat="1" ht="24" customHeight="1" x14ac:dyDescent="0.25">
      <c r="B12" s="45">
        <v>42656</v>
      </c>
      <c r="C12" s="18" t="s">
        <v>22</v>
      </c>
      <c r="D12" s="10">
        <v>174.7</v>
      </c>
      <c r="E12" s="34">
        <f t="shared" si="4"/>
        <v>22396.3</v>
      </c>
      <c r="F12" s="70">
        <v>15.89</v>
      </c>
      <c r="G12" s="8">
        <v>1.0767778477029577</v>
      </c>
      <c r="H12" s="9">
        <f t="shared" si="0"/>
        <v>17.11</v>
      </c>
      <c r="I12" s="10">
        <v>55</v>
      </c>
      <c r="J12" s="41">
        <f>SUM(I$3:$I12)/COUNT(I$3:$I12)</f>
        <v>58.300000000000004</v>
      </c>
      <c r="K12" s="44">
        <f t="shared" si="5"/>
        <v>49.981241220893644</v>
      </c>
      <c r="L12" s="78">
        <f>IFERROR(K12/$AC$4,"-")</f>
        <v>0.72541714398974799</v>
      </c>
      <c r="M12" s="12">
        <f t="shared" si="8"/>
        <v>52.545584461089739</v>
      </c>
      <c r="N12" s="12">
        <f>SUM(K$4:$K12)/COUNT(K$4:$K12)</f>
        <v>55.218408326520155</v>
      </c>
      <c r="O12" s="11">
        <f t="shared" si="1"/>
        <v>5.0187587791063564</v>
      </c>
      <c r="P12" s="31">
        <f t="shared" si="2"/>
        <v>0.10041284803084013</v>
      </c>
      <c r="Q12" s="12">
        <f>SUM($O$4:O12)/COUNT($O$4:O12)</f>
        <v>3.081591673479847</v>
      </c>
      <c r="R12" s="32">
        <f>SUM(P$4:$P12)/COUNT(P$4:$P12)</f>
        <v>5.8540840101829854E-2</v>
      </c>
      <c r="S12" s="12">
        <f t="shared" si="6"/>
        <v>4.6210822055769256</v>
      </c>
      <c r="T12" s="13">
        <v>7</v>
      </c>
      <c r="U12" s="13">
        <v>18</v>
      </c>
      <c r="V12" s="12">
        <f t="shared" si="3"/>
        <v>12.5</v>
      </c>
      <c r="W12" s="12">
        <v>12.4</v>
      </c>
      <c r="X12" s="12">
        <f t="shared" si="7"/>
        <v>14.833333333333334</v>
      </c>
      <c r="Y12" s="4"/>
      <c r="Z12"/>
      <c r="AA12" s="175">
        <f>D75</f>
        <v>20456.900000000001</v>
      </c>
      <c r="AB12" s="176"/>
      <c r="AC12" s="175">
        <f>F75</f>
        <v>1827.1899999999991</v>
      </c>
      <c r="AD12" s="176"/>
      <c r="AE12" s="181">
        <f>SUM($H$3:$H$74)</f>
        <v>2096.563200000001</v>
      </c>
      <c r="AF12" s="182"/>
      <c r="AG12" s="164">
        <f>(AA12/AE12)</f>
        <v>9.7573495518761337</v>
      </c>
      <c r="AH12" s="165"/>
      <c r="AI12" s="48" t="s">
        <v>72</v>
      </c>
      <c r="AJ12" s="49">
        <f>MIN(K3:K74)</f>
        <v>47.264327149090903</v>
      </c>
    </row>
    <row r="13" spans="2:38" s="2" customFormat="1" ht="24" customHeight="1" x14ac:dyDescent="0.25">
      <c r="B13" s="45">
        <v>42660</v>
      </c>
      <c r="C13" s="18" t="s">
        <v>22</v>
      </c>
      <c r="D13" s="10">
        <v>340</v>
      </c>
      <c r="E13" s="34">
        <f t="shared" si="4"/>
        <v>22736.3</v>
      </c>
      <c r="F13" s="70">
        <v>29.13</v>
      </c>
      <c r="G13" s="8">
        <v>1.1071060762100928</v>
      </c>
      <c r="H13" s="9">
        <f t="shared" si="0"/>
        <v>32.25</v>
      </c>
      <c r="I13" s="10">
        <v>57.7</v>
      </c>
      <c r="J13" s="41">
        <f>SUM(I$3:$I13)/COUNT(I$3:$I13)</f>
        <v>58.240000000000009</v>
      </c>
      <c r="K13" s="44">
        <f t="shared" si="5"/>
        <v>53.061125986955034</v>
      </c>
      <c r="L13" s="78">
        <f>IFERROR(K13/$AC$4,"-")</f>
        <v>0.77011793885275803</v>
      </c>
      <c r="M13" s="12">
        <f t="shared" si="8"/>
        <v>51.697416555455142</v>
      </c>
      <c r="N13" s="12">
        <f>SUM(K$4:$K13)/COUNT(K$4:$K13)</f>
        <v>55.002680092563637</v>
      </c>
      <c r="O13" s="11">
        <f t="shared" si="1"/>
        <v>4.638874013044969</v>
      </c>
      <c r="P13" s="31">
        <f t="shared" si="2"/>
        <v>8.7425095618691287E-2</v>
      </c>
      <c r="Q13" s="12">
        <f>SUM($O$4:O13)/COUNT($O$4:O13)</f>
        <v>3.2373199074363592</v>
      </c>
      <c r="R13" s="32">
        <f>SUM(P$4:$P13)/COUNT(P$4:$P13)</f>
        <v>6.1429265653515995E-2</v>
      </c>
      <c r="S13" s="12">
        <f t="shared" si="6"/>
        <v>4.9692501112115179</v>
      </c>
      <c r="T13" s="13">
        <v>9</v>
      </c>
      <c r="U13" s="13">
        <v>17</v>
      </c>
      <c r="V13" s="12">
        <f t="shared" si="3"/>
        <v>13</v>
      </c>
      <c r="W13" s="12">
        <v>11.9</v>
      </c>
      <c r="X13" s="12">
        <f t="shared" si="7"/>
        <v>12.9</v>
      </c>
      <c r="Y13" s="4"/>
      <c r="Z13"/>
      <c r="AA13" s="170" t="s">
        <v>98</v>
      </c>
      <c r="AB13" s="172">
        <f ca="1">AA12/('Running Costs'!C5*12)</f>
        <v>838.58586028751131</v>
      </c>
      <c r="AC13" s="177"/>
      <c r="AD13" s="178"/>
      <c r="AE13" s="183"/>
      <c r="AF13" s="184"/>
      <c r="AG13" s="166"/>
      <c r="AH13" s="167"/>
      <c r="AI13" s="53" t="s">
        <v>74</v>
      </c>
      <c r="AJ13" s="52">
        <f>MEDIAN(K3:K74)</f>
        <v>51.567202036516854</v>
      </c>
    </row>
    <row r="14" spans="2:38" s="2" customFormat="1" ht="24" customHeight="1" x14ac:dyDescent="0.25">
      <c r="B14" s="45">
        <v>42672</v>
      </c>
      <c r="C14" s="18" t="s">
        <v>22</v>
      </c>
      <c r="D14" s="10">
        <v>333.2</v>
      </c>
      <c r="E14" s="34">
        <f t="shared" si="4"/>
        <v>23069.5</v>
      </c>
      <c r="F14" s="70">
        <v>28.45</v>
      </c>
      <c r="G14" s="8">
        <v>1.117</v>
      </c>
      <c r="H14" s="9">
        <f t="shared" si="0"/>
        <v>31.778649999999999</v>
      </c>
      <c r="I14" s="10">
        <v>57.8</v>
      </c>
      <c r="J14" s="41">
        <f>SUM(I$3:$I14)/COUNT(I$3:$I14)</f>
        <v>58.2</v>
      </c>
      <c r="K14" s="44">
        <f t="shared" si="5"/>
        <v>53.242783409490336</v>
      </c>
      <c r="L14" s="78">
        <f>IFERROR(K14/$AC$4,"-")</f>
        <v>0.77275447618999027</v>
      </c>
      <c r="M14" s="12">
        <f t="shared" si="8"/>
        <v>52.095050205779671</v>
      </c>
      <c r="N14" s="12">
        <f>SUM(K$4:$K14)/COUNT(K$4:$K14)</f>
        <v>54.842689485011526</v>
      </c>
      <c r="O14" s="11">
        <f t="shared" si="1"/>
        <v>4.5572165905096611</v>
      </c>
      <c r="P14" s="31">
        <f t="shared" si="2"/>
        <v>8.5593132039324477E-2</v>
      </c>
      <c r="Q14" s="12">
        <f>SUM($O$4:O14)/COUNT($O$4:O14)</f>
        <v>3.3573105149884772</v>
      </c>
      <c r="R14" s="32">
        <f>SUM(P$4:$P14)/COUNT(P$4:$P14)</f>
        <v>6.3625980779498589E-2</v>
      </c>
      <c r="S14" s="12">
        <f t="shared" si="6"/>
        <v>4.7382831275536619</v>
      </c>
      <c r="T14" s="13">
        <v>7</v>
      </c>
      <c r="U14" s="13">
        <v>17</v>
      </c>
      <c r="V14" s="12">
        <f t="shared" si="3"/>
        <v>12</v>
      </c>
      <c r="W14" s="12">
        <v>11.7</v>
      </c>
      <c r="X14" s="12">
        <f t="shared" si="7"/>
        <v>12</v>
      </c>
      <c r="Y14" s="4"/>
      <c r="Z14"/>
      <c r="AA14" s="171"/>
      <c r="AB14" s="173"/>
      <c r="AC14" s="179"/>
      <c r="AD14" s="180"/>
      <c r="AE14" s="185"/>
      <c r="AF14" s="186"/>
      <c r="AG14" s="168"/>
      <c r="AH14" s="169"/>
      <c r="AI14" s="50" t="s">
        <v>73</v>
      </c>
      <c r="AJ14" s="51">
        <f>MAX(K5:K76)</f>
        <v>61.113084391736798</v>
      </c>
    </row>
    <row r="15" spans="2:38" s="2" customFormat="1" ht="24" customHeight="1" x14ac:dyDescent="0.25">
      <c r="B15" s="45">
        <v>42686</v>
      </c>
      <c r="C15" s="18" t="s">
        <v>23</v>
      </c>
      <c r="D15" s="10">
        <v>347.8</v>
      </c>
      <c r="E15" s="34">
        <f t="shared" si="4"/>
        <v>23417.3</v>
      </c>
      <c r="F15" s="70">
        <v>31.02</v>
      </c>
      <c r="G15" s="8">
        <v>1.127</v>
      </c>
      <c r="H15" s="9">
        <f t="shared" si="0"/>
        <v>34.959539999999997</v>
      </c>
      <c r="I15" s="10">
        <v>55.8</v>
      </c>
      <c r="J15" s="41">
        <f>SUM(I$3:$I15)/COUNT(I$3:$I15)</f>
        <v>58</v>
      </c>
      <c r="K15" s="44">
        <f t="shared" si="5"/>
        <v>50.971312121212129</v>
      </c>
      <c r="L15" s="78">
        <f>IFERROR(K15/$AC$4,"-")</f>
        <v>0.7397868232396535</v>
      </c>
      <c r="M15" s="12">
        <f t="shared" si="8"/>
        <v>52.425073839219159</v>
      </c>
      <c r="N15" s="12">
        <f>SUM(K$4:$K15)/COUNT(K$4:$K15)</f>
        <v>54.520074704694906</v>
      </c>
      <c r="O15" s="11">
        <f t="shared" si="1"/>
        <v>4.8286878787878678</v>
      </c>
      <c r="P15" s="31">
        <f t="shared" si="2"/>
        <v>9.4733442751189639E-2</v>
      </c>
      <c r="Q15" s="12">
        <f>SUM($O$4:O15)/COUNT($O$4:O15)</f>
        <v>3.4799252953050934</v>
      </c>
      <c r="R15" s="32">
        <f>SUM(P$4:$P15)/COUNT(P$4:$P15)</f>
        <v>6.6218269277139516E-2</v>
      </c>
      <c r="S15" s="12">
        <f t="shared" si="6"/>
        <v>4.6749261607808323</v>
      </c>
      <c r="T15" s="13">
        <v>4</v>
      </c>
      <c r="U15" s="13">
        <v>17</v>
      </c>
      <c r="V15" s="12">
        <f t="shared" ref="V15:V39" si="9">AVERAGE(U15,T15)</f>
        <v>10.5</v>
      </c>
      <c r="W15" s="12">
        <v>8.9</v>
      </c>
      <c r="X15" s="12">
        <f t="shared" si="7"/>
        <v>10.833333333333334</v>
      </c>
      <c r="Y15" s="4"/>
      <c r="Z15"/>
    </row>
    <row r="16" spans="2:38" s="2" customFormat="1" ht="24" customHeight="1" x14ac:dyDescent="0.25">
      <c r="B16" s="45">
        <v>42700</v>
      </c>
      <c r="C16" s="18" t="s">
        <v>23</v>
      </c>
      <c r="D16" s="10">
        <v>326.89999999999998</v>
      </c>
      <c r="E16" s="34">
        <f t="shared" si="4"/>
        <v>23744.2</v>
      </c>
      <c r="F16" s="70">
        <v>29.71</v>
      </c>
      <c r="G16" s="8">
        <v>1.097</v>
      </c>
      <c r="H16" s="9">
        <f t="shared" si="0"/>
        <v>32.59187</v>
      </c>
      <c r="I16" s="10">
        <v>54.7</v>
      </c>
      <c r="J16" s="41">
        <f>SUM(I$3:$I16)/COUNT(I$3:$I16)</f>
        <v>57.746153846153852</v>
      </c>
      <c r="K16" s="44">
        <f t="shared" si="5"/>
        <v>50.02076139347021</v>
      </c>
      <c r="L16" s="78">
        <f>IFERROR(K16/$AC$4,"-")</f>
        <v>0.72599073140014814</v>
      </c>
      <c r="M16" s="12">
        <f t="shared" ref="M16:M26" si="10">SUM(K14:K16)/3</f>
        <v>51.411618974724227</v>
      </c>
      <c r="N16" s="12">
        <f>SUM(K$4:$K16)/COUNT(K$4:$K16)</f>
        <v>54.17397368075455</v>
      </c>
      <c r="O16" s="11">
        <f t="shared" si="1"/>
        <v>4.6792386065297933</v>
      </c>
      <c r="P16" s="31">
        <f t="shared" si="2"/>
        <v>9.3545929253700422E-2</v>
      </c>
      <c r="Q16" s="12">
        <f>SUM($O$4:O16)/COUNT($O$4:O16)</f>
        <v>3.5721801653993008</v>
      </c>
      <c r="R16" s="32">
        <f>SUM(P$4:$P16)/COUNT(P$4:$P16)</f>
        <v>6.8320396967644192E-2</v>
      </c>
      <c r="S16" s="12">
        <f t="shared" si="6"/>
        <v>4.688381025275774</v>
      </c>
      <c r="T16" s="13">
        <v>2</v>
      </c>
      <c r="U16" s="13">
        <v>14</v>
      </c>
      <c r="V16" s="12">
        <f t="shared" si="9"/>
        <v>8</v>
      </c>
      <c r="W16" s="12">
        <v>7.1</v>
      </c>
      <c r="X16" s="12">
        <f t="shared" si="7"/>
        <v>9.2333333333333343</v>
      </c>
      <c r="Y16" s="4"/>
      <c r="Z16"/>
    </row>
    <row r="17" spans="2:36" s="2" customFormat="1" ht="24" customHeight="1" x14ac:dyDescent="0.25">
      <c r="B17" s="45">
        <v>42713</v>
      </c>
      <c r="C17" s="18" t="s">
        <v>24</v>
      </c>
      <c r="D17" s="10">
        <v>362.7</v>
      </c>
      <c r="E17" s="34">
        <f t="shared" si="4"/>
        <v>24106.9</v>
      </c>
      <c r="F17" s="70">
        <v>32.479999999999997</v>
      </c>
      <c r="G17" s="8">
        <v>1.117</v>
      </c>
      <c r="H17" s="9">
        <f t="shared" si="0"/>
        <v>36.280159999999995</v>
      </c>
      <c r="I17" s="10">
        <v>55.3</v>
      </c>
      <c r="J17" s="41">
        <f>SUM(I$3:$I17)/COUNT(I$3:$I17)</f>
        <v>57.571428571428569</v>
      </c>
      <c r="K17" s="44">
        <f t="shared" si="5"/>
        <v>50.765604772167499</v>
      </c>
      <c r="L17" s="78">
        <f>IFERROR(K17/$AC$4,"-")</f>
        <v>0.73680123036527567</v>
      </c>
      <c r="M17" s="12">
        <f t="shared" si="10"/>
        <v>50.585892762283287</v>
      </c>
      <c r="N17" s="12">
        <f>SUM(K$4:$K17)/COUNT(K$4:$K17)</f>
        <v>53.930518758712616</v>
      </c>
      <c r="O17" s="11">
        <f t="shared" si="1"/>
        <v>4.5343952278324977</v>
      </c>
      <c r="P17" s="31">
        <f t="shared" si="2"/>
        <v>8.9320224750252614E-2</v>
      </c>
      <c r="Q17" s="12">
        <f>SUM($O$4:O17)/COUNT($O$4:O17)</f>
        <v>3.6409098127159578</v>
      </c>
      <c r="R17" s="32">
        <f>SUM(P$4:$P17)/COUNT(P$4:$P17)</f>
        <v>6.9820384666401933E-2</v>
      </c>
      <c r="S17" s="12">
        <f t="shared" si="6"/>
        <v>4.6807739043833863</v>
      </c>
      <c r="T17" s="13">
        <v>1.5</v>
      </c>
      <c r="U17" s="13">
        <v>15.6</v>
      </c>
      <c r="V17" s="12">
        <f t="shared" si="9"/>
        <v>8.5500000000000007</v>
      </c>
      <c r="W17" s="12">
        <v>7.1</v>
      </c>
      <c r="X17" s="12">
        <f t="shared" si="7"/>
        <v>7.7</v>
      </c>
      <c r="Y17" s="4"/>
      <c r="Z17"/>
    </row>
    <row r="18" spans="2:36" s="2" customFormat="1" ht="24" customHeight="1" x14ac:dyDescent="0.25">
      <c r="B18" s="45">
        <v>42716</v>
      </c>
      <c r="C18" s="18" t="s">
        <v>24</v>
      </c>
      <c r="D18" s="10">
        <v>313.7</v>
      </c>
      <c r="E18" s="34">
        <f t="shared" si="4"/>
        <v>24420.600000000002</v>
      </c>
      <c r="F18" s="70">
        <v>27.04</v>
      </c>
      <c r="G18" s="8">
        <v>1.117</v>
      </c>
      <c r="H18" s="9">
        <f t="shared" si="0"/>
        <v>30.203679999999999</v>
      </c>
      <c r="I18" s="10">
        <v>57.5</v>
      </c>
      <c r="J18" s="41">
        <f>SUM(I$3:$I18)/COUNT(I$3:$I18)</f>
        <v>57.56666666666667</v>
      </c>
      <c r="K18" s="44">
        <f t="shared" si="5"/>
        <v>52.740696486686396</v>
      </c>
      <c r="L18" s="78">
        <f>IFERROR(K18/$AC$4,"-")</f>
        <v>0.76546729298528871</v>
      </c>
      <c r="M18" s="12">
        <f t="shared" si="10"/>
        <v>51.175687550774704</v>
      </c>
      <c r="N18" s="12">
        <f>SUM(K$4:$K18)/COUNT(K$4:$K18)</f>
        <v>53.85119727391087</v>
      </c>
      <c r="O18" s="11">
        <f t="shared" si="1"/>
        <v>4.7593035133136041</v>
      </c>
      <c r="P18" s="31">
        <f t="shared" si="2"/>
        <v>9.0239678850563138E-2</v>
      </c>
      <c r="Q18" s="12">
        <f>SUM($O$4:O18)/COUNT($O$4:O18)</f>
        <v>3.7154693927558009</v>
      </c>
      <c r="R18" s="32">
        <f>SUM(P$4:$P18)/COUNT(P$4:$P18)</f>
        <v>7.1181670945346026E-2</v>
      </c>
      <c r="S18" s="12">
        <f t="shared" si="6"/>
        <v>4.6576457825586317</v>
      </c>
      <c r="T18" s="13">
        <v>6</v>
      </c>
      <c r="U18" s="13">
        <v>11</v>
      </c>
      <c r="V18" s="12">
        <f t="shared" si="9"/>
        <v>8.5</v>
      </c>
      <c r="W18" s="12">
        <v>9.1</v>
      </c>
      <c r="X18" s="12">
        <f t="shared" si="7"/>
        <v>7.7666666666666657</v>
      </c>
      <c r="Y18" s="4"/>
      <c r="Z18"/>
    </row>
    <row r="19" spans="2:36" s="2" customFormat="1" ht="24" customHeight="1" x14ac:dyDescent="0.25">
      <c r="B19" s="45">
        <v>42733</v>
      </c>
      <c r="C19" s="18" t="s">
        <v>24</v>
      </c>
      <c r="D19" s="10">
        <v>353.5</v>
      </c>
      <c r="E19" s="34">
        <f t="shared" si="4"/>
        <v>24774.100000000002</v>
      </c>
      <c r="F19" s="70">
        <v>32.700000000000003</v>
      </c>
      <c r="G19" s="8">
        <v>1.147</v>
      </c>
      <c r="H19" s="9">
        <f t="shared" si="0"/>
        <v>37.506900000000002</v>
      </c>
      <c r="I19" s="10">
        <v>53.9</v>
      </c>
      <c r="J19" s="41">
        <f>SUM(I$3:$I19)/COUNT(I$3:$I19)</f>
        <v>57.337499999999999</v>
      </c>
      <c r="K19" s="44">
        <f t="shared" si="5"/>
        <v>49.145040214067279</v>
      </c>
      <c r="L19" s="78">
        <f>IFERROR(K19/$AC$4,"-")</f>
        <v>0.71328069976875585</v>
      </c>
      <c r="M19" s="12">
        <f t="shared" si="10"/>
        <v>50.88378049097372</v>
      </c>
      <c r="N19" s="12">
        <f>SUM(K$4:$K19)/COUNT(K$4:$K19)</f>
        <v>53.557062457670646</v>
      </c>
      <c r="O19" s="11">
        <f t="shared" si="1"/>
        <v>4.7549597859327193</v>
      </c>
      <c r="P19" s="31">
        <f t="shared" si="2"/>
        <v>9.6753604539154686E-2</v>
      </c>
      <c r="Q19" s="12">
        <f>SUM($O$4:O19)/COUNT($O$4:O19)</f>
        <v>3.7804375423293584</v>
      </c>
      <c r="R19" s="32">
        <f>SUM(P$4:$P19)/COUNT(P$4:$P19)</f>
        <v>7.2779916794959057E-2</v>
      </c>
      <c r="S19" s="12">
        <f t="shared" si="6"/>
        <v>4.6828861756929401</v>
      </c>
      <c r="T19" s="13">
        <v>0</v>
      </c>
      <c r="U19" s="13">
        <v>13</v>
      </c>
      <c r="V19" s="12">
        <f t="shared" si="9"/>
        <v>6.5</v>
      </c>
      <c r="W19" s="12">
        <v>7.1</v>
      </c>
      <c r="X19" s="12">
        <f t="shared" si="7"/>
        <v>7.7666666666666657</v>
      </c>
      <c r="Y19" s="4"/>
      <c r="Z19"/>
    </row>
    <row r="20" spans="2:36" s="2" customFormat="1" ht="24" customHeight="1" x14ac:dyDescent="0.25">
      <c r="B20" s="45">
        <v>42749</v>
      </c>
      <c r="C20" s="18" t="s">
        <v>25</v>
      </c>
      <c r="D20" s="10">
        <v>346</v>
      </c>
      <c r="E20" s="34">
        <f t="shared" si="4"/>
        <v>25120.100000000002</v>
      </c>
      <c r="F20" s="70">
        <v>31.48</v>
      </c>
      <c r="G20" s="8">
        <v>1.167</v>
      </c>
      <c r="H20" s="9">
        <f t="shared" si="0"/>
        <v>36.737160000000003</v>
      </c>
      <c r="I20" s="10">
        <v>55.2</v>
      </c>
      <c r="J20" s="41">
        <f>SUM(I$3:$I20)/COUNT(I$3:$I20)</f>
        <v>57.211764705882352</v>
      </c>
      <c r="K20" s="44">
        <f t="shared" ref="K20:K26" si="11">IFERROR(D20/(F20/4.54609188),"-")</f>
        <v>49.966575301143578</v>
      </c>
      <c r="L20" s="78">
        <f>IFERROR(K20/$AC$4,"-")</f>
        <v>0.72520428593822317</v>
      </c>
      <c r="M20" s="12">
        <f t="shared" si="10"/>
        <v>50.617437333965746</v>
      </c>
      <c r="N20" s="12">
        <f>SUM(K$4:$K20)/COUNT(K$4:$K20)</f>
        <v>53.345857330816116</v>
      </c>
      <c r="O20" s="11">
        <f t="shared" si="1"/>
        <v>5.2334246988564246</v>
      </c>
      <c r="P20" s="31">
        <f t="shared" si="2"/>
        <v>0.10473851104093275</v>
      </c>
      <c r="Q20" s="12">
        <f>SUM($O$4:O20)/COUNT($O$4:O20)</f>
        <v>3.8659073750662447</v>
      </c>
      <c r="R20" s="32">
        <f>SUM(P$4:$P20)/COUNT(P$4:$P20)</f>
        <v>7.4659834103545736E-2</v>
      </c>
      <c r="S20" s="12">
        <f t="shared" si="6"/>
        <v>4.9158959993675824</v>
      </c>
      <c r="T20" s="13">
        <v>0</v>
      </c>
      <c r="U20" s="13">
        <v>11</v>
      </c>
      <c r="V20" s="12">
        <f t="shared" si="9"/>
        <v>5.5</v>
      </c>
      <c r="W20" s="12">
        <v>6.2</v>
      </c>
      <c r="X20" s="12">
        <f t="shared" si="7"/>
        <v>7.4666666666666659</v>
      </c>
      <c r="Y20" s="4"/>
      <c r="Z20"/>
    </row>
    <row r="21" spans="2:36" s="2" customFormat="1" ht="24" customHeight="1" x14ac:dyDescent="0.25">
      <c r="B21" s="45">
        <v>42763</v>
      </c>
      <c r="C21" s="18" t="s">
        <v>25</v>
      </c>
      <c r="D21" s="10">
        <v>342.7</v>
      </c>
      <c r="E21" s="34">
        <f t="shared" si="4"/>
        <v>25462.800000000003</v>
      </c>
      <c r="F21" s="70">
        <v>30.33</v>
      </c>
      <c r="G21" s="8">
        <v>1.167</v>
      </c>
      <c r="H21" s="9">
        <f t="shared" si="0"/>
        <v>35.395110000000003</v>
      </c>
      <c r="I21" s="10">
        <v>55.9</v>
      </c>
      <c r="J21" s="41">
        <f>SUM(I$3:$I21)/COUNT(I$3:$I21)</f>
        <v>57.138888888888886</v>
      </c>
      <c r="K21" s="44">
        <f t="shared" si="11"/>
        <v>51.36649150267062</v>
      </c>
      <c r="L21" s="78">
        <f>IFERROR(K21/$AC$4,"-")</f>
        <v>0.74552237304311486</v>
      </c>
      <c r="M21" s="12">
        <f t="shared" si="10"/>
        <v>50.159369005960492</v>
      </c>
      <c r="N21" s="12">
        <f>SUM(K$4:$K21)/COUNT(K$4:$K21)</f>
        <v>53.235892562585811</v>
      </c>
      <c r="O21" s="11">
        <f t="shared" si="1"/>
        <v>4.5335084973293789</v>
      </c>
      <c r="P21" s="31">
        <f t="shared" si="2"/>
        <v>8.8258091310240164E-2</v>
      </c>
      <c r="Q21" s="12">
        <f>SUM($O$4:O21)/COUNT($O$4:O21)</f>
        <v>3.9029963263030854</v>
      </c>
      <c r="R21" s="32">
        <f>SUM(P$4:$P21)/COUNT(P$4:$P21)</f>
        <v>7.5415292837250986E-2</v>
      </c>
      <c r="S21" s="12">
        <f t="shared" si="6"/>
        <v>4.8406309940395076</v>
      </c>
      <c r="T21" s="13">
        <v>-1</v>
      </c>
      <c r="U21" s="13">
        <v>10</v>
      </c>
      <c r="V21" s="12">
        <f t="shared" si="9"/>
        <v>4.5</v>
      </c>
      <c r="W21" s="12">
        <v>5.4</v>
      </c>
      <c r="X21" s="12">
        <f t="shared" si="7"/>
        <v>6.2333333333333343</v>
      </c>
      <c r="Y21" s="4"/>
      <c r="Z21"/>
    </row>
    <row r="22" spans="2:36" s="2" customFormat="1" ht="24" customHeight="1" x14ac:dyDescent="0.25">
      <c r="B22" s="45">
        <v>42780</v>
      </c>
      <c r="C22" s="18" t="s">
        <v>26</v>
      </c>
      <c r="D22" s="10">
        <v>384</v>
      </c>
      <c r="E22" s="34">
        <f t="shared" si="4"/>
        <v>25846.800000000003</v>
      </c>
      <c r="F22" s="70">
        <v>34.42</v>
      </c>
      <c r="G22" s="8">
        <v>1.167</v>
      </c>
      <c r="H22" s="9">
        <f t="shared" si="0"/>
        <v>40.168140000000001</v>
      </c>
      <c r="I22" s="10">
        <v>55.1</v>
      </c>
      <c r="J22" s="41">
        <f>SUM(I$3:$I22)/COUNT(I$3:$I22)</f>
        <v>57.031578947368416</v>
      </c>
      <c r="K22" s="44">
        <f t="shared" si="11"/>
        <v>50.71758518070888</v>
      </c>
      <c r="L22" s="78">
        <f>IFERROR(K22/$AC$4,"-")</f>
        <v>0.73610428419025942</v>
      </c>
      <c r="M22" s="12">
        <f t="shared" si="10"/>
        <v>50.683550661507695</v>
      </c>
      <c r="N22" s="12">
        <f>SUM(K$4:$K22)/COUNT(K$4:$K22)</f>
        <v>53.103350068802818</v>
      </c>
      <c r="O22" s="11">
        <f t="shared" si="1"/>
        <v>4.382414819291121</v>
      </c>
      <c r="P22" s="31">
        <f t="shared" si="2"/>
        <v>8.6408191629715678E-2</v>
      </c>
      <c r="Q22" s="12">
        <f>SUM($O$4:O22)/COUNT($O$4:O22)</f>
        <v>3.9282288785656134</v>
      </c>
      <c r="R22" s="32">
        <f>SUM(P$4:$P22)/COUNT(P$4:$P22)</f>
        <v>7.5993866457907025E-2</v>
      </c>
      <c r="S22" s="12">
        <f t="shared" si="6"/>
        <v>4.7164493384923079</v>
      </c>
      <c r="T22" s="13">
        <v>-1</v>
      </c>
      <c r="U22" s="13">
        <v>13</v>
      </c>
      <c r="V22" s="12">
        <f t="shared" si="9"/>
        <v>6</v>
      </c>
      <c r="W22" s="12">
        <v>5.8</v>
      </c>
      <c r="X22" s="12">
        <f t="shared" si="7"/>
        <v>5.8000000000000007</v>
      </c>
      <c r="Y22" s="4"/>
      <c r="Z22"/>
    </row>
    <row r="23" spans="2:36" s="2" customFormat="1" ht="24" customHeight="1" x14ac:dyDescent="0.25">
      <c r="B23" s="45">
        <v>42786</v>
      </c>
      <c r="C23" s="18" t="s">
        <v>26</v>
      </c>
      <c r="D23" s="10">
        <v>379.8</v>
      </c>
      <c r="E23" s="34">
        <f t="shared" si="4"/>
        <v>26226.600000000002</v>
      </c>
      <c r="F23" s="70">
        <v>33.299999999999997</v>
      </c>
      <c r="G23" s="8">
        <v>1.167</v>
      </c>
      <c r="H23" s="9">
        <f t="shared" si="0"/>
        <v>38.8611</v>
      </c>
      <c r="I23" s="10">
        <v>55.6</v>
      </c>
      <c r="J23" s="41">
        <f>SUM(I$3:$I23)/COUNT(I$3:$I23)</f>
        <v>56.959999999999994</v>
      </c>
      <c r="K23" s="44">
        <f t="shared" si="11"/>
        <v>51.850020901621626</v>
      </c>
      <c r="L23" s="78">
        <f>IFERROR(K23/$AC$4,"-")</f>
        <v>0.75254021627897849</v>
      </c>
      <c r="M23" s="12">
        <f t="shared" si="10"/>
        <v>51.311365861667042</v>
      </c>
      <c r="N23" s="12">
        <f>SUM(K$4:$K23)/COUNT(K$4:$K23)</f>
        <v>53.04068361044375</v>
      </c>
      <c r="O23" s="11">
        <f t="shared" si="1"/>
        <v>3.7499790983783754</v>
      </c>
      <c r="P23" s="31">
        <f t="shared" si="2"/>
        <v>7.2323579299870516E-2</v>
      </c>
      <c r="Q23" s="12">
        <f>SUM($O$4:O23)/COUNT($O$4:O23)</f>
        <v>3.9193163895562515</v>
      </c>
      <c r="R23" s="32">
        <f>SUM(P$4:$P23)/COUNT(P$4:$P23)</f>
        <v>7.5810352100005196E-2</v>
      </c>
      <c r="S23" s="12">
        <f t="shared" si="6"/>
        <v>4.221967471666292</v>
      </c>
      <c r="T23" s="13">
        <v>3</v>
      </c>
      <c r="U23" s="13">
        <v>14</v>
      </c>
      <c r="V23" s="12">
        <f t="shared" si="9"/>
        <v>8.5</v>
      </c>
      <c r="W23" s="12">
        <v>8.6999999999999993</v>
      </c>
      <c r="X23" s="12">
        <f t="shared" si="7"/>
        <v>6.6333333333333329</v>
      </c>
      <c r="Y23" s="4"/>
      <c r="Z23"/>
      <c r="AA23"/>
      <c r="AB23"/>
      <c r="AC23"/>
      <c r="AD23"/>
      <c r="AE23"/>
      <c r="AF23"/>
      <c r="AG23"/>
      <c r="AH23"/>
      <c r="AI23"/>
      <c r="AJ23"/>
    </row>
    <row r="24" spans="2:36" s="2" customFormat="1" ht="24" customHeight="1" x14ac:dyDescent="0.25">
      <c r="B24" s="45">
        <v>42796</v>
      </c>
      <c r="C24" s="18" t="s">
        <v>27</v>
      </c>
      <c r="D24" s="10">
        <v>268.2</v>
      </c>
      <c r="E24" s="34">
        <f t="shared" si="4"/>
        <v>26494.800000000003</v>
      </c>
      <c r="F24" s="70">
        <v>34.17</v>
      </c>
      <c r="G24" s="8">
        <v>1.167</v>
      </c>
      <c r="H24" s="9">
        <f t="shared" si="0"/>
        <v>39.876390000000001</v>
      </c>
      <c r="I24" s="10">
        <v>56</v>
      </c>
      <c r="J24" s="41">
        <f>SUM(I$3:$I24)/COUNT(I$3:$I24)</f>
        <v>56.914285714285704</v>
      </c>
      <c r="K24" s="44">
        <v>51.7</v>
      </c>
      <c r="L24" s="78">
        <f>IFERROR(K24/$AC$4,"-")</f>
        <v>0.75036284470246728</v>
      </c>
      <c r="M24" s="12">
        <f t="shared" si="10"/>
        <v>51.422535360776841</v>
      </c>
      <c r="N24" s="12">
        <f>SUM(K$4:$K24)/COUNT(K$4:$K24)</f>
        <v>52.976841533755952</v>
      </c>
      <c r="O24" s="11">
        <f t="shared" si="1"/>
        <v>4.2999999999999972</v>
      </c>
      <c r="P24" s="31">
        <f t="shared" si="2"/>
        <v>8.3172147001934177E-2</v>
      </c>
      <c r="Q24" s="12">
        <f>SUM($O$4:O24)/COUNT($O$4:O24)</f>
        <v>3.9374441805297629</v>
      </c>
      <c r="R24" s="32">
        <f>SUM(P$4:$P24)/COUNT(P$4:$P24)</f>
        <v>7.616091376200182E-2</v>
      </c>
      <c r="S24" s="12">
        <f t="shared" si="6"/>
        <v>4.1441313058898315</v>
      </c>
      <c r="T24" s="13">
        <v>1</v>
      </c>
      <c r="U24" s="13">
        <v>14</v>
      </c>
      <c r="V24" s="12">
        <f t="shared" si="9"/>
        <v>7.5</v>
      </c>
      <c r="W24" s="12">
        <v>7.9</v>
      </c>
      <c r="X24" s="12">
        <f t="shared" si="7"/>
        <v>7.4666666666666659</v>
      </c>
      <c r="Y24" s="4"/>
      <c r="Z24"/>
      <c r="AA24"/>
      <c r="AB24"/>
      <c r="AC24"/>
      <c r="AD24"/>
      <c r="AE24"/>
      <c r="AF24"/>
      <c r="AG24"/>
      <c r="AH24"/>
      <c r="AI24"/>
      <c r="AJ24"/>
    </row>
    <row r="25" spans="2:36" s="2" customFormat="1" ht="24" customHeight="1" x14ac:dyDescent="0.25">
      <c r="B25" s="45">
        <v>42799</v>
      </c>
      <c r="C25" s="18" t="s">
        <v>27</v>
      </c>
      <c r="D25" s="10">
        <v>211.5</v>
      </c>
      <c r="E25" s="34">
        <f t="shared" si="4"/>
        <v>26706.300000000003</v>
      </c>
      <c r="F25" s="70">
        <v>18.91</v>
      </c>
      <c r="G25" s="8">
        <v>1.167</v>
      </c>
      <c r="H25" s="9">
        <f t="shared" si="0"/>
        <v>22.067970000000003</v>
      </c>
      <c r="I25" s="10">
        <v>54</v>
      </c>
      <c r="J25" s="41">
        <f>SUM(I$3:$I25)/COUNT(I$3:$I25)</f>
        <v>56.781818181818174</v>
      </c>
      <c r="K25" s="44">
        <f t="shared" si="11"/>
        <v>50.846030281332624</v>
      </c>
      <c r="L25" s="78">
        <f>IFERROR(K25/$AC$4,"-")</f>
        <v>0.73796850916302781</v>
      </c>
      <c r="M25" s="12">
        <f t="shared" si="10"/>
        <v>51.465350394318079</v>
      </c>
      <c r="N25" s="12">
        <f>SUM(K$4:$K25)/COUNT(K$4:$K25)</f>
        <v>52.879986476827618</v>
      </c>
      <c r="O25" s="11">
        <f t="shared" si="1"/>
        <v>3.1539697186673763</v>
      </c>
      <c r="P25" s="31">
        <f t="shared" si="2"/>
        <v>6.2029812380954154E-2</v>
      </c>
      <c r="Q25" s="12">
        <f>SUM($O$4:O25)/COUNT($O$4:O25)</f>
        <v>3.9018317049905638</v>
      </c>
      <c r="R25" s="32">
        <f>SUM(P$4:$P25)/COUNT(P$4:$P25)</f>
        <v>7.5518590971954194E-2</v>
      </c>
      <c r="S25" s="12">
        <f t="shared" si="6"/>
        <v>3.7346496056819163</v>
      </c>
      <c r="T25" s="13">
        <v>4</v>
      </c>
      <c r="U25" s="13">
        <v>12</v>
      </c>
      <c r="V25" s="12">
        <f t="shared" si="9"/>
        <v>8</v>
      </c>
      <c r="W25" s="12">
        <v>7.1</v>
      </c>
      <c r="X25" s="12">
        <f t="shared" si="7"/>
        <v>7.9000000000000012</v>
      </c>
      <c r="Y25" s="4"/>
      <c r="Z25"/>
      <c r="AA25"/>
      <c r="AB25"/>
      <c r="AC25"/>
      <c r="AD25"/>
      <c r="AE25"/>
      <c r="AF25"/>
      <c r="AG25"/>
      <c r="AH25"/>
      <c r="AI25"/>
      <c r="AJ25"/>
    </row>
    <row r="26" spans="2:36" s="2" customFormat="1" ht="24" customHeight="1" x14ac:dyDescent="0.25">
      <c r="B26" s="45">
        <v>42847</v>
      </c>
      <c r="C26" s="18" t="s">
        <v>28</v>
      </c>
      <c r="D26" s="10">
        <v>362.5</v>
      </c>
      <c r="E26" s="34">
        <f t="shared" si="4"/>
        <v>27068.800000000003</v>
      </c>
      <c r="F26" s="70">
        <v>32.04</v>
      </c>
      <c r="G26" s="8">
        <v>1.147</v>
      </c>
      <c r="H26" s="9">
        <f t="shared" si="0"/>
        <v>36.749879999999997</v>
      </c>
      <c r="I26" s="10">
        <v>56.5</v>
      </c>
      <c r="J26" s="41">
        <f>SUM(I$3:$I26)/COUNT(I$3:$I26)</f>
        <v>56.769565217391296</v>
      </c>
      <c r="K26" s="44">
        <f t="shared" si="11"/>
        <v>51.434404073033704</v>
      </c>
      <c r="L26" s="78">
        <f>IFERROR(K26/$AC$4,"-")</f>
        <v>0.7465080416986023</v>
      </c>
      <c r="M26" s="12">
        <f t="shared" si="10"/>
        <v>51.326811451455448</v>
      </c>
      <c r="N26" s="12">
        <f>SUM(K$4:$K26)/COUNT(K$4:$K26)</f>
        <v>52.817135067967008</v>
      </c>
      <c r="O26" s="11">
        <f t="shared" si="1"/>
        <v>5.0655959269662958</v>
      </c>
      <c r="P26" s="31">
        <f t="shared" si="2"/>
        <v>9.8486528973359147E-2</v>
      </c>
      <c r="Q26" s="12">
        <f>SUM($O$4:O26)/COUNT($O$4:O26)</f>
        <v>3.9524301494242913</v>
      </c>
      <c r="R26" s="32">
        <f>SUM(P$4:$P26)/COUNT(P$4:$P26)</f>
        <v>7.6517196972015283E-2</v>
      </c>
      <c r="S26" s="12">
        <f t="shared" si="6"/>
        <v>4.1731885485445561</v>
      </c>
      <c r="T26" s="13">
        <v>5</v>
      </c>
      <c r="U26" s="13">
        <v>22</v>
      </c>
      <c r="V26" s="12">
        <f t="shared" si="9"/>
        <v>13.5</v>
      </c>
      <c r="W26" s="12">
        <v>10.199999999999999</v>
      </c>
      <c r="X26" s="12">
        <f t="shared" si="7"/>
        <v>8.4</v>
      </c>
      <c r="Y26" s="4"/>
      <c r="Z26"/>
      <c r="AA26"/>
      <c r="AB26"/>
      <c r="AC26"/>
      <c r="AD26"/>
      <c r="AE26"/>
      <c r="AF26"/>
      <c r="AG26"/>
      <c r="AH26"/>
      <c r="AI26"/>
      <c r="AJ26"/>
    </row>
    <row r="27" spans="2:36" s="2" customFormat="1" ht="24" customHeight="1" x14ac:dyDescent="0.25">
      <c r="B27" s="45">
        <v>42861</v>
      </c>
      <c r="C27" s="18" t="s">
        <v>31</v>
      </c>
      <c r="D27" s="10">
        <v>328.5</v>
      </c>
      <c r="E27" s="34">
        <f t="shared" si="4"/>
        <v>27397.300000000003</v>
      </c>
      <c r="F27" s="70">
        <v>28.56</v>
      </c>
      <c r="G27" s="8">
        <v>1.127</v>
      </c>
      <c r="H27" s="9">
        <f t="shared" ref="H27:H35" si="12">G27*F27</f>
        <v>32.18712</v>
      </c>
      <c r="I27" s="10">
        <v>56.9</v>
      </c>
      <c r="J27" s="41">
        <f>SUM(I$3:$I27)/COUNT(I$3:$I27)</f>
        <v>56.774999999999999</v>
      </c>
      <c r="K27" s="44">
        <f t="shared" ref="K27:K52" si="13">IFERROR(D27/(F27/4.54609188),"-")</f>
        <v>52.289607233193273</v>
      </c>
      <c r="L27" s="78">
        <f>IFERROR(K27/$AC$4,"-")</f>
        <v>0.75892027914649152</v>
      </c>
      <c r="M27" s="12">
        <f t="shared" ref="M27:M35" si="14">SUM(K25:K27)/3</f>
        <v>51.523347195853198</v>
      </c>
      <c r="N27" s="12">
        <f>SUM(K$4:$K27)/COUNT(K$4:$K27)</f>
        <v>52.795154741518104</v>
      </c>
      <c r="O27" s="11">
        <f t="shared" si="1"/>
        <v>4.6103927668067257</v>
      </c>
      <c r="P27" s="31">
        <f t="shared" si="2"/>
        <v>8.8170346092790369E-2</v>
      </c>
      <c r="Q27" s="12">
        <f>SUM($O$4:O27)/COUNT($O$4:O27)</f>
        <v>3.9798452584818929</v>
      </c>
      <c r="R27" s="32">
        <f>SUM(P$4:$P27)/COUNT(P$4:$P27)</f>
        <v>7.7002744852047569E-2</v>
      </c>
      <c r="S27" s="12">
        <f t="shared" si="6"/>
        <v>4.2766528041467993</v>
      </c>
      <c r="T27" s="13">
        <v>3</v>
      </c>
      <c r="U27" s="13">
        <v>23</v>
      </c>
      <c r="V27" s="12">
        <f t="shared" si="9"/>
        <v>13</v>
      </c>
      <c r="W27" s="12">
        <v>11.3</v>
      </c>
      <c r="X27" s="12">
        <f t="shared" si="7"/>
        <v>9.5333333333333332</v>
      </c>
      <c r="Y27" s="4"/>
      <c r="Z27" s="24"/>
      <c r="AA27"/>
      <c r="AB27"/>
      <c r="AC27"/>
      <c r="AD27"/>
      <c r="AE27"/>
      <c r="AF27"/>
      <c r="AG27"/>
      <c r="AH27"/>
      <c r="AI27"/>
      <c r="AJ27"/>
    </row>
    <row r="28" spans="2:36" s="2" customFormat="1" ht="24" customHeight="1" x14ac:dyDescent="0.25">
      <c r="B28" s="45">
        <v>42876</v>
      </c>
      <c r="C28" s="18" t="s">
        <v>31</v>
      </c>
      <c r="D28" s="10">
        <v>361.3</v>
      </c>
      <c r="E28" s="34">
        <f t="shared" si="4"/>
        <v>27758.600000000002</v>
      </c>
      <c r="F28" s="70">
        <v>29.78</v>
      </c>
      <c r="G28" s="8">
        <v>1.127</v>
      </c>
      <c r="H28" s="9">
        <f t="shared" si="12"/>
        <v>33.562060000000002</v>
      </c>
      <c r="I28" s="10">
        <v>60</v>
      </c>
      <c r="J28" s="41">
        <f>SUM(I$3:$I28)/COUNT(I$3:$I28)</f>
        <v>56.903999999999996</v>
      </c>
      <c r="K28" s="44">
        <f t="shared" si="13"/>
        <v>55.154566697246466</v>
      </c>
      <c r="L28" s="78">
        <f>IFERROR(K28/$AC$4,"-")</f>
        <v>0.80050169371910684</v>
      </c>
      <c r="M28" s="12">
        <f t="shared" si="14"/>
        <v>52.959526001157805</v>
      </c>
      <c r="N28" s="12">
        <f>SUM(K$4:$K28)/COUNT(K$4:$K28)</f>
        <v>52.889531219747241</v>
      </c>
      <c r="O28" s="11">
        <f t="shared" si="1"/>
        <v>4.8454333027535341</v>
      </c>
      <c r="P28" s="31">
        <f t="shared" si="2"/>
        <v>8.7851896822089215E-2</v>
      </c>
      <c r="Q28" s="12">
        <f>SUM($O$4:O28)/COUNT($O$4:O28)</f>
        <v>4.0144687802527583</v>
      </c>
      <c r="R28" s="32">
        <f>SUM(P$4:$P28)/COUNT(P$4:$P28)</f>
        <v>7.7436710930849237E-2</v>
      </c>
      <c r="S28" s="12">
        <f t="shared" si="6"/>
        <v>4.8404739988421852</v>
      </c>
      <c r="T28" s="13">
        <v>8</v>
      </c>
      <c r="U28" s="13">
        <v>25</v>
      </c>
      <c r="V28" s="12">
        <f t="shared" si="9"/>
        <v>16.5</v>
      </c>
      <c r="W28" s="12">
        <v>14.1</v>
      </c>
      <c r="X28" s="12">
        <f t="shared" si="7"/>
        <v>11.866666666666667</v>
      </c>
      <c r="Y28" s="4"/>
      <c r="Z28" s="24"/>
      <c r="AA28"/>
      <c r="AB28"/>
      <c r="AC28"/>
      <c r="AD28"/>
      <c r="AE28"/>
      <c r="AF28"/>
      <c r="AG28"/>
      <c r="AH28"/>
      <c r="AI28"/>
      <c r="AJ28"/>
    </row>
    <row r="29" spans="2:36" s="2" customFormat="1" ht="24" customHeight="1" x14ac:dyDescent="0.25">
      <c r="B29" s="45">
        <v>42883</v>
      </c>
      <c r="C29" s="18" t="s">
        <v>31</v>
      </c>
      <c r="D29" s="10">
        <v>383.8</v>
      </c>
      <c r="E29" s="34">
        <f t="shared" si="4"/>
        <v>28142.400000000001</v>
      </c>
      <c r="F29" s="70">
        <v>31.46</v>
      </c>
      <c r="G29" s="8">
        <v>1.129</v>
      </c>
      <c r="H29" s="9">
        <f t="shared" si="12"/>
        <v>35.518340000000002</v>
      </c>
      <c r="I29" s="10">
        <v>58.8</v>
      </c>
      <c r="J29" s="41">
        <f>SUM(I$3:$I29)/COUNT(I$3:$I29)</f>
        <v>56.976923076923072</v>
      </c>
      <c r="K29" s="44">
        <f t="shared" si="13"/>
        <v>55.460586889510488</v>
      </c>
      <c r="L29" s="78">
        <f>IFERROR(K29/$AC$4,"-")</f>
        <v>0.8049432059435484</v>
      </c>
      <c r="M29" s="12">
        <f t="shared" si="14"/>
        <v>54.301586939983416</v>
      </c>
      <c r="N29" s="12">
        <f>SUM(K$4:$K29)/COUNT(K$4:$K29)</f>
        <v>52.988417976276601</v>
      </c>
      <c r="O29" s="11">
        <f t="shared" si="1"/>
        <v>3.3394131104895095</v>
      </c>
      <c r="P29" s="31">
        <f t="shared" si="2"/>
        <v>6.0212365172809014E-2</v>
      </c>
      <c r="Q29" s="12">
        <f>SUM($O$4:O29)/COUNT($O$4:O29)</f>
        <v>3.98850510064648</v>
      </c>
      <c r="R29" s="32">
        <f>SUM(P$4:$P29)/COUNT(P$4:$P29)</f>
        <v>7.6774236094001538E-2</v>
      </c>
      <c r="S29" s="12">
        <f t="shared" si="6"/>
        <v>4.2650797266832567</v>
      </c>
      <c r="T29" s="13">
        <v>13</v>
      </c>
      <c r="U29" s="13">
        <v>28</v>
      </c>
      <c r="V29" s="12">
        <f t="shared" si="9"/>
        <v>20.5</v>
      </c>
      <c r="W29" s="12">
        <v>19</v>
      </c>
      <c r="X29" s="12">
        <f t="shared" si="7"/>
        <v>14.799999999999999</v>
      </c>
      <c r="Y29" s="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2:36" s="2" customFormat="1" ht="24" customHeight="1" x14ac:dyDescent="0.25">
      <c r="B30" s="45">
        <v>42889</v>
      </c>
      <c r="C30" s="18" t="s">
        <v>32</v>
      </c>
      <c r="D30" s="10">
        <v>275.89999999999998</v>
      </c>
      <c r="E30" s="34">
        <f t="shared" si="4"/>
        <v>28418.300000000003</v>
      </c>
      <c r="F30" s="70">
        <v>23.75</v>
      </c>
      <c r="G30" s="8">
        <v>1.127</v>
      </c>
      <c r="H30" s="9">
        <f t="shared" si="12"/>
        <v>26.766249999999999</v>
      </c>
      <c r="I30" s="10">
        <v>58.6</v>
      </c>
      <c r="J30" s="41">
        <f>SUM(I$3:$I30)/COUNT(I$3:$I30)</f>
        <v>57.037037037037031</v>
      </c>
      <c r="K30" s="44">
        <f t="shared" si="13"/>
        <v>52.811231565978943</v>
      </c>
      <c r="L30" s="78">
        <f>IFERROR(K30/$AC$4,"-")</f>
        <v>0.7664910241796653</v>
      </c>
      <c r="M30" s="12">
        <f t="shared" si="14"/>
        <v>54.475461717578632</v>
      </c>
      <c r="N30" s="12">
        <f>SUM(K$4:$K30)/COUNT(K$4:$K30)</f>
        <v>52.981855516635946</v>
      </c>
      <c r="O30" s="11">
        <f t="shared" si="1"/>
        <v>5.7887684340210583</v>
      </c>
      <c r="P30" s="31">
        <f t="shared" si="2"/>
        <v>0.1096124491395158</v>
      </c>
      <c r="Q30" s="12">
        <f>SUM($O$4:O30)/COUNT($O$4:O30)</f>
        <v>4.0551815204010939</v>
      </c>
      <c r="R30" s="32">
        <f>SUM(P$4:$P30)/COUNT(P$4:$P30)</f>
        <v>7.7990466206798365E-2</v>
      </c>
      <c r="S30" s="12">
        <f t="shared" si="6"/>
        <v>4.6578716157547007</v>
      </c>
      <c r="T30" s="13">
        <v>11</v>
      </c>
      <c r="U30" s="13">
        <v>26</v>
      </c>
      <c r="V30" s="12">
        <f t="shared" si="9"/>
        <v>18.5</v>
      </c>
      <c r="W30" s="12">
        <v>16.7</v>
      </c>
      <c r="X30" s="12">
        <f t="shared" si="7"/>
        <v>16.599999999999998</v>
      </c>
      <c r="Y30" s="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2:36" s="2" customFormat="1" ht="24" customHeight="1" x14ac:dyDescent="0.25">
      <c r="B31" s="45">
        <v>42916</v>
      </c>
      <c r="C31" s="18" t="s">
        <v>32</v>
      </c>
      <c r="D31" s="10">
        <v>435.5</v>
      </c>
      <c r="E31" s="34">
        <f t="shared" si="4"/>
        <v>28853.800000000003</v>
      </c>
      <c r="F31" s="70">
        <v>34.61</v>
      </c>
      <c r="G31" s="8">
        <v>1.109</v>
      </c>
      <c r="H31" s="9">
        <f t="shared" si="12"/>
        <v>38.382489999999997</v>
      </c>
      <c r="I31" s="10">
        <v>60.4</v>
      </c>
      <c r="J31" s="41">
        <f>SUM(I$3:$I31)/COUNT(I$3:$I31)</f>
        <v>57.157142857142851</v>
      </c>
      <c r="K31" s="44">
        <f t="shared" si="13"/>
        <v>57.203785430222474</v>
      </c>
      <c r="L31" s="78">
        <f>IFERROR(K31/$AC$4,"-")</f>
        <v>0.83024362017739428</v>
      </c>
      <c r="M31" s="12">
        <f t="shared" si="14"/>
        <v>55.158534628570635</v>
      </c>
      <c r="N31" s="12">
        <f>SUM(K$4:$K31)/COUNT(K$4:$K31)</f>
        <v>53.132638727835463</v>
      </c>
      <c r="O31" s="11">
        <f t="shared" si="1"/>
        <v>3.1962145697775242</v>
      </c>
      <c r="P31" s="31">
        <f t="shared" si="2"/>
        <v>5.587417940507252E-2</v>
      </c>
      <c r="Q31" s="12">
        <f>SUM($O$4:O31)/COUNT($O$4:O31)</f>
        <v>4.0245041293073944</v>
      </c>
      <c r="R31" s="32">
        <f>SUM(P$4:$P31)/COUNT(P$4:$P31)</f>
        <v>7.720059882102244E-2</v>
      </c>
      <c r="S31" s="12">
        <f t="shared" si="6"/>
        <v>4.1081320380960307</v>
      </c>
      <c r="T31" s="13">
        <v>13</v>
      </c>
      <c r="U31" s="13">
        <v>30</v>
      </c>
      <c r="V31" s="12">
        <f t="shared" si="9"/>
        <v>21.5</v>
      </c>
      <c r="W31" s="12">
        <v>16.899999999999999</v>
      </c>
      <c r="X31" s="12">
        <f t="shared" si="7"/>
        <v>17.533333333333335</v>
      </c>
      <c r="Y31" s="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2:36" s="2" customFormat="1" x14ac:dyDescent="0.25">
      <c r="B32" s="45">
        <v>42931</v>
      </c>
      <c r="C32" s="18" t="s">
        <v>33</v>
      </c>
      <c r="D32" s="10">
        <v>362.5</v>
      </c>
      <c r="E32" s="34">
        <f t="shared" si="4"/>
        <v>29216.300000000003</v>
      </c>
      <c r="F32" s="70">
        <v>32.9</v>
      </c>
      <c r="G32" s="8">
        <v>1.117</v>
      </c>
      <c r="H32" s="9">
        <f t="shared" si="12"/>
        <v>36.749299999999998</v>
      </c>
      <c r="I32" s="10">
        <v>56</v>
      </c>
      <c r="J32" s="41">
        <f>SUM(I$3:$I32)/COUNT(I$3:$I32)</f>
        <v>57.117241379310343</v>
      </c>
      <c r="K32" s="44">
        <f t="shared" si="13"/>
        <v>50.08991813069909</v>
      </c>
      <c r="L32" s="78">
        <f>IFERROR(K32/$AC$4,"-")</f>
        <v>0.72699445762988513</v>
      </c>
      <c r="M32" s="12">
        <f t="shared" si="14"/>
        <v>53.368311708966836</v>
      </c>
      <c r="N32" s="12">
        <f>SUM(K$4:$K32)/COUNT(K$4:$K32)</f>
        <v>53.027717327934212</v>
      </c>
      <c r="O32" s="11">
        <f t="shared" si="1"/>
        <v>5.9100818693009103</v>
      </c>
      <c r="P32" s="31">
        <f t="shared" si="2"/>
        <v>0.11798944957106532</v>
      </c>
      <c r="Q32" s="12">
        <f>SUM($O$4:O32)/COUNT($O$4:O32)</f>
        <v>4.0895240513761371</v>
      </c>
      <c r="R32" s="32">
        <f>SUM(P$4:$P32)/COUNT(P$4:$P32)</f>
        <v>7.86071109158515E-2</v>
      </c>
      <c r="S32" s="12">
        <f t="shared" si="6"/>
        <v>4.9650216243664973</v>
      </c>
      <c r="T32" s="13">
        <v>12</v>
      </c>
      <c r="U32" s="13">
        <v>28</v>
      </c>
      <c r="V32" s="12">
        <f t="shared" si="9"/>
        <v>20</v>
      </c>
      <c r="W32" s="12">
        <v>17.2</v>
      </c>
      <c r="X32" s="12">
        <f t="shared" si="7"/>
        <v>16.933333333333334</v>
      </c>
      <c r="Y32" s="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2:38" s="2" customFormat="1" ht="24" customHeight="1" x14ac:dyDescent="0.25">
      <c r="B33" s="45">
        <v>42945</v>
      </c>
      <c r="C33" s="18" t="s">
        <v>33</v>
      </c>
      <c r="D33" s="10">
        <v>330.1</v>
      </c>
      <c r="E33" s="34">
        <f t="shared" si="4"/>
        <v>29546.400000000001</v>
      </c>
      <c r="F33" s="70">
        <v>29.66</v>
      </c>
      <c r="G33" s="8">
        <v>1.117</v>
      </c>
      <c r="H33" s="9">
        <f t="shared" si="12"/>
        <v>33.130220000000001</v>
      </c>
      <c r="I33" s="10">
        <v>54.5</v>
      </c>
      <c r="J33" s="41">
        <f>SUM(I$3:$I33)/COUNT(I$3:$I33)</f>
        <v>57.029999999999994</v>
      </c>
      <c r="K33" s="44">
        <f t="shared" si="13"/>
        <v>50.59558090316925</v>
      </c>
      <c r="L33" s="78">
        <f>IFERROR(K33/$AC$4,"-")</f>
        <v>0.73433353995891504</v>
      </c>
      <c r="M33" s="12">
        <f t="shared" si="14"/>
        <v>52.629761488030262</v>
      </c>
      <c r="N33" s="12">
        <f>SUM(K$4:$K33)/COUNT(K$4:$K33)</f>
        <v>52.94664611377538</v>
      </c>
      <c r="O33" s="11">
        <f t="shared" si="1"/>
        <v>3.9044190968307504</v>
      </c>
      <c r="P33" s="31">
        <f t="shared" si="2"/>
        <v>7.7169172230734911E-2</v>
      </c>
      <c r="Q33" s="12">
        <f>SUM($O$4:O33)/COUNT($O$4:O33)</f>
        <v>4.0833538862246241</v>
      </c>
      <c r="R33" s="32">
        <f>SUM(P$4:$P33)/COUNT(P$4:$P33)</f>
        <v>7.8559179626347619E-2</v>
      </c>
      <c r="S33" s="12">
        <f t="shared" si="6"/>
        <v>4.3369051786363952</v>
      </c>
      <c r="T33" s="13">
        <v>12</v>
      </c>
      <c r="U33" s="13">
        <v>30</v>
      </c>
      <c r="V33" s="12">
        <f t="shared" si="9"/>
        <v>21</v>
      </c>
      <c r="W33" s="12">
        <v>18.100000000000001</v>
      </c>
      <c r="X33" s="12">
        <f t="shared" si="7"/>
        <v>17.399999999999999</v>
      </c>
      <c r="Y33" s="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2:38" s="2" customFormat="1" ht="24" customHeight="1" x14ac:dyDescent="0.25">
      <c r="B34" s="45">
        <v>42959</v>
      </c>
      <c r="C34" s="18" t="s">
        <v>35</v>
      </c>
      <c r="D34" s="10">
        <v>397</v>
      </c>
      <c r="E34" s="34">
        <f t="shared" si="4"/>
        <v>29943.4</v>
      </c>
      <c r="F34" s="70">
        <v>34.89</v>
      </c>
      <c r="G34" s="8">
        <v>1.127</v>
      </c>
      <c r="H34" s="9">
        <f t="shared" si="12"/>
        <v>39.32103</v>
      </c>
      <c r="I34" s="10">
        <v>56</v>
      </c>
      <c r="J34" s="41">
        <f>SUM(I$3:$I34)/COUNT(I$3:$I34)</f>
        <v>56.996774193548383</v>
      </c>
      <c r="K34" s="44">
        <f t="shared" si="13"/>
        <v>51.728245238177124</v>
      </c>
      <c r="L34" s="78">
        <f>IFERROR(K34/$AC$4,"-")</f>
        <v>0.7507727901041672</v>
      </c>
      <c r="M34" s="12">
        <f t="shared" si="14"/>
        <v>50.804581424015147</v>
      </c>
      <c r="N34" s="12">
        <f>SUM(K$4:$K34)/COUNT(K$4:$K34)</f>
        <v>52.907342859723819</v>
      </c>
      <c r="O34" s="11">
        <f t="shared" si="1"/>
        <v>4.2717547618228764</v>
      </c>
      <c r="P34" s="31">
        <f t="shared" si="2"/>
        <v>8.258070116536996E-2</v>
      </c>
      <c r="Q34" s="12">
        <f>SUM($O$4:O34)/COUNT($O$4:O34)</f>
        <v>4.0894313338245674</v>
      </c>
      <c r="R34" s="32">
        <f>SUM(P$4:$P34)/COUNT(P$4:$P34)</f>
        <v>7.8688906127606401E-2</v>
      </c>
      <c r="S34" s="12">
        <f t="shared" si="6"/>
        <v>4.6954185759848457</v>
      </c>
      <c r="T34" s="13">
        <v>13</v>
      </c>
      <c r="U34" s="13">
        <v>25</v>
      </c>
      <c r="V34" s="12">
        <f t="shared" si="9"/>
        <v>19</v>
      </c>
      <c r="W34" s="12">
        <v>17.100000000000001</v>
      </c>
      <c r="X34" s="12">
        <f t="shared" si="7"/>
        <v>17.466666666666665</v>
      </c>
      <c r="Y34" s="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</row>
    <row r="35" spans="2:38" x14ac:dyDescent="0.25">
      <c r="B35" s="45">
        <v>42973</v>
      </c>
      <c r="C35" s="18" t="s">
        <v>35</v>
      </c>
      <c r="D35" s="10">
        <v>272.60000000000002</v>
      </c>
      <c r="E35" s="34">
        <f t="shared" si="4"/>
        <v>30216</v>
      </c>
      <c r="F35" s="70">
        <v>24.17</v>
      </c>
      <c r="G35" s="8">
        <v>1.137</v>
      </c>
      <c r="H35" s="9">
        <f t="shared" si="12"/>
        <v>27.481290000000001</v>
      </c>
      <c r="I35" s="10">
        <v>54.9</v>
      </c>
      <c r="J35" s="41">
        <f>SUM(I$3:$I35)/COUNT(I$3:$I35)</f>
        <v>56.931249999999999</v>
      </c>
      <c r="K35" s="44">
        <f t="shared" si="13"/>
        <v>51.272844289946207</v>
      </c>
      <c r="L35" s="78">
        <f>IFERROR(K35/$AC$4,"-")</f>
        <v>0.74416319724159941</v>
      </c>
      <c r="M35" s="12">
        <f t="shared" si="14"/>
        <v>51.198890143764196</v>
      </c>
      <c r="N35" s="12">
        <f>SUM(K$4:$K35)/COUNT(K$4:$K35)</f>
        <v>52.856264779418275</v>
      </c>
      <c r="O35" s="11">
        <f t="shared" si="1"/>
        <v>3.6271557100537919</v>
      </c>
      <c r="P35" s="31">
        <f t="shared" si="2"/>
        <v>7.0742237148817971E-2</v>
      </c>
      <c r="Q35" s="12">
        <f>SUM($O$4:O35)/COUNT($O$4:O35)</f>
        <v>4.0749852205817305</v>
      </c>
      <c r="R35" s="32">
        <f>SUM(P$4:$P35)/COUNT(P$4:$P35)</f>
        <v>7.8440572722019264E-2</v>
      </c>
      <c r="S35" s="12">
        <f t="shared" si="6"/>
        <v>3.9344431895691394</v>
      </c>
      <c r="T35" s="13">
        <v>13</v>
      </c>
      <c r="U35" s="13">
        <v>25</v>
      </c>
      <c r="V35" s="12">
        <f t="shared" si="9"/>
        <v>19</v>
      </c>
      <c r="W35" s="12">
        <v>17.5</v>
      </c>
      <c r="X35" s="12">
        <f t="shared" si="7"/>
        <v>17.566666666666666</v>
      </c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"/>
      <c r="AL35" s="2"/>
    </row>
    <row r="36" spans="2:38" ht="24" customHeight="1" x14ac:dyDescent="0.25">
      <c r="B36" s="45">
        <v>42987</v>
      </c>
      <c r="C36" s="18" t="s">
        <v>34</v>
      </c>
      <c r="D36" s="10">
        <v>349</v>
      </c>
      <c r="E36" s="34">
        <f t="shared" si="4"/>
        <v>30565</v>
      </c>
      <c r="F36" s="70">
        <v>31</v>
      </c>
      <c r="G36" s="8">
        <v>1.137</v>
      </c>
      <c r="H36" s="9">
        <f t="shared" ref="H36:H52" si="15">G36*F36</f>
        <v>35.247</v>
      </c>
      <c r="I36" s="10">
        <v>55</v>
      </c>
      <c r="J36" s="41">
        <f>SUM(I$3:$I36)/COUNT(I$3:$I36)</f>
        <v>56.872727272727275</v>
      </c>
      <c r="K36" s="44">
        <f t="shared" si="13"/>
        <v>51.180195681290314</v>
      </c>
      <c r="L36" s="78">
        <f>IFERROR(K36/$AC$4,"-")</f>
        <v>0.74281851496792906</v>
      </c>
      <c r="M36" s="12">
        <f t="shared" ref="M36:M52" si="16">SUM(K34:K36)/3</f>
        <v>51.39376173647122</v>
      </c>
      <c r="N36" s="12">
        <f>SUM(K$4:$K36)/COUNT(K$4:$K36)</f>
        <v>52.805474806747732</v>
      </c>
      <c r="O36" s="11">
        <f t="shared" ref="O36:O62" si="17">IFERROR(I36-K36,"-")</f>
        <v>3.8198043187096857</v>
      </c>
      <c r="P36" s="31">
        <f t="shared" ref="P36:P62" si="18">IFERROR((I36-K36)/K36,"-")</f>
        <v>7.4634421925551031E-2</v>
      </c>
      <c r="Q36" s="12">
        <f>SUM($O$4:O36)/COUNT($O$4:O36)</f>
        <v>4.0672524659795473</v>
      </c>
      <c r="R36" s="32">
        <f>SUM(P$4:$P36)/COUNT(P$4:$P36)</f>
        <v>7.8325234819095979E-2</v>
      </c>
      <c r="S36" s="12">
        <f t="shared" si="6"/>
        <v>3.9062382635287847</v>
      </c>
      <c r="T36" s="13">
        <v>11</v>
      </c>
      <c r="U36" s="13">
        <v>25</v>
      </c>
      <c r="V36" s="12">
        <f t="shared" si="9"/>
        <v>18</v>
      </c>
      <c r="W36" s="12">
        <v>16.5</v>
      </c>
      <c r="X36" s="12">
        <f t="shared" si="7"/>
        <v>17.033333333333335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"/>
    </row>
    <row r="37" spans="2:38" ht="24" customHeight="1" x14ac:dyDescent="0.25">
      <c r="B37" s="45">
        <v>43001</v>
      </c>
      <c r="C37" s="18" t="s">
        <v>34</v>
      </c>
      <c r="D37" s="10">
        <v>344.9</v>
      </c>
      <c r="E37" s="34">
        <f t="shared" si="4"/>
        <v>30909.9</v>
      </c>
      <c r="F37" s="70">
        <v>31.61</v>
      </c>
      <c r="G37" s="8">
        <v>1.157</v>
      </c>
      <c r="H37" s="9">
        <f t="shared" si="15"/>
        <v>36.572769999999998</v>
      </c>
      <c r="I37" s="10">
        <v>53.8</v>
      </c>
      <c r="J37" s="41">
        <f>SUM(I$3:$I37)/COUNT(I$3:$I37)</f>
        <v>56.78235294117647</v>
      </c>
      <c r="K37" s="44">
        <f t="shared" si="13"/>
        <v>49.602881664409992</v>
      </c>
      <c r="L37" s="78">
        <f>IFERROR(K37/$AC$4,"-")</f>
        <v>0.71992571356182855</v>
      </c>
      <c r="M37" s="12">
        <f t="shared" si="16"/>
        <v>50.685307211882169</v>
      </c>
      <c r="N37" s="12">
        <f>SUM(K$4:$K37)/COUNT(K$4:$K37)</f>
        <v>52.711280890796623</v>
      </c>
      <c r="O37" s="11">
        <f t="shared" si="17"/>
        <v>4.1971183355900052</v>
      </c>
      <c r="P37" s="31">
        <f t="shared" si="18"/>
        <v>8.4614405348176228E-2</v>
      </c>
      <c r="Q37" s="12">
        <f>SUM($O$4:O37)/COUNT($O$4:O37)</f>
        <v>4.071072050379855</v>
      </c>
      <c r="R37" s="32">
        <f>SUM(P$4:$P37)/COUNT(P$4:$P37)</f>
        <v>7.8510210422892454E-2</v>
      </c>
      <c r="S37" s="12">
        <f t="shared" si="6"/>
        <v>3.8813594547844943</v>
      </c>
      <c r="T37" s="13">
        <v>9</v>
      </c>
      <c r="U37" s="13">
        <v>20</v>
      </c>
      <c r="V37" s="12">
        <f t="shared" si="9"/>
        <v>14.5</v>
      </c>
      <c r="W37" s="12">
        <v>13.6</v>
      </c>
      <c r="X37" s="12">
        <f t="shared" si="7"/>
        <v>15.866666666666667</v>
      </c>
      <c r="AA37" s="24"/>
      <c r="AB37" s="24"/>
      <c r="AC37" s="24"/>
      <c r="AD37" s="24"/>
      <c r="AE37" s="24"/>
      <c r="AF37" s="24"/>
      <c r="AG37" s="24"/>
    </row>
    <row r="38" spans="2:38" ht="24" customHeight="1" x14ac:dyDescent="0.25">
      <c r="B38" s="45">
        <v>43015</v>
      </c>
      <c r="C38" s="18" t="s">
        <v>36</v>
      </c>
      <c r="D38" s="10">
        <v>354.3</v>
      </c>
      <c r="E38" s="34">
        <f t="shared" si="4"/>
        <v>31264.2</v>
      </c>
      <c r="F38" s="70">
        <v>32.200000000000003</v>
      </c>
      <c r="G38" s="8">
        <v>1.137</v>
      </c>
      <c r="H38" s="9">
        <f t="shared" si="15"/>
        <v>36.611400000000003</v>
      </c>
      <c r="I38" s="10">
        <v>53.8</v>
      </c>
      <c r="J38" s="41">
        <f>SUM(I$3:$I38)/COUNT(I$3:$I38)</f>
        <v>56.69714285714285</v>
      </c>
      <c r="K38" s="44">
        <f t="shared" si="13"/>
        <v>50.021128977763972</v>
      </c>
      <c r="L38" s="78">
        <f>IFERROR(K38/$AC$4,"-")</f>
        <v>0.72599606644069614</v>
      </c>
      <c r="M38" s="12">
        <f t="shared" si="16"/>
        <v>50.268068774488093</v>
      </c>
      <c r="N38" s="12">
        <f>SUM(K$4:$K38)/COUNT(K$4:$K38)</f>
        <v>52.634419407567115</v>
      </c>
      <c r="O38" s="11">
        <f t="shared" si="17"/>
        <v>3.7788710222360251</v>
      </c>
      <c r="P38" s="31">
        <f t="shared" si="18"/>
        <v>7.5545496462422049E-2</v>
      </c>
      <c r="Q38" s="12">
        <f>SUM($O$4:O38)/COUNT($O$4:O38)</f>
        <v>4.0627234495757456</v>
      </c>
      <c r="R38" s="32">
        <f>SUM(P$4:$P38)/COUNT(P$4:$P38)</f>
        <v>7.842550430973616E-2</v>
      </c>
      <c r="S38" s="12">
        <f t="shared" si="6"/>
        <v>3.9319312255119052</v>
      </c>
      <c r="T38" s="13">
        <v>10</v>
      </c>
      <c r="U38" s="13">
        <v>21</v>
      </c>
      <c r="V38" s="12">
        <f t="shared" si="9"/>
        <v>15.5</v>
      </c>
      <c r="W38" s="12">
        <v>14.1</v>
      </c>
      <c r="X38" s="12">
        <f t="shared" si="7"/>
        <v>14.733333333333334</v>
      </c>
      <c r="AA38" s="24"/>
      <c r="AB38" s="24"/>
      <c r="AC38" s="24"/>
      <c r="AD38" s="24"/>
      <c r="AE38" s="24"/>
      <c r="AF38" s="24"/>
      <c r="AG38" s="24"/>
    </row>
    <row r="39" spans="2:38" ht="24" customHeight="1" x14ac:dyDescent="0.25">
      <c r="B39" s="45">
        <v>43019</v>
      </c>
      <c r="C39" s="18" t="s">
        <v>36</v>
      </c>
      <c r="D39" s="10">
        <v>109.3</v>
      </c>
      <c r="E39" s="34">
        <f t="shared" si="4"/>
        <v>31373.5</v>
      </c>
      <c r="F39" s="70">
        <v>9.98</v>
      </c>
      <c r="G39" s="8">
        <v>1.137</v>
      </c>
      <c r="H39" s="9">
        <f t="shared" si="15"/>
        <v>11.34726</v>
      </c>
      <c r="I39" s="10">
        <v>53.9</v>
      </c>
      <c r="J39" s="41">
        <f>SUM(I$3:$I39)/COUNT(I$3:$I39)</f>
        <v>56.61944444444444</v>
      </c>
      <c r="K39" s="44">
        <f t="shared" si="13"/>
        <v>49.788360970340669</v>
      </c>
      <c r="L39" s="78">
        <f>IFERROR(K39/$AC$4,"-")</f>
        <v>0.72261772090479925</v>
      </c>
      <c r="M39" s="12">
        <f t="shared" si="16"/>
        <v>49.804123870838218</v>
      </c>
      <c r="N39" s="12">
        <f>SUM(K$4:$K39)/COUNT(K$4:$K39)</f>
        <v>52.555362228755271</v>
      </c>
      <c r="O39" s="11">
        <f t="shared" si="17"/>
        <v>4.1116390296593295</v>
      </c>
      <c r="P39" s="31">
        <f t="shared" si="18"/>
        <v>8.2582333491730456E-2</v>
      </c>
      <c r="Q39" s="12">
        <f>SUM($O$4:O39)/COUNT($O$4:O39)</f>
        <v>4.0640822156891785</v>
      </c>
      <c r="R39" s="32">
        <f>SUM(P$4:$P39)/COUNT(P$4:$P39)</f>
        <v>7.8540971787013789E-2</v>
      </c>
      <c r="S39" s="12">
        <f t="shared" si="6"/>
        <v>4.0292094624951202</v>
      </c>
      <c r="T39" s="13">
        <v>11</v>
      </c>
      <c r="U39" s="13">
        <v>18</v>
      </c>
      <c r="V39" s="12">
        <f t="shared" si="9"/>
        <v>14.5</v>
      </c>
      <c r="W39" s="12">
        <v>14</v>
      </c>
      <c r="X39" s="12">
        <f t="shared" si="7"/>
        <v>13.9</v>
      </c>
      <c r="AA39" s="58" t="s">
        <v>16</v>
      </c>
      <c r="AB39" s="58" t="s">
        <v>48</v>
      </c>
      <c r="AC39" s="58" t="s">
        <v>50</v>
      </c>
      <c r="AD39" s="59" t="s">
        <v>49</v>
      </c>
      <c r="AE39" s="59" t="s">
        <v>51</v>
      </c>
      <c r="AF39" s="59" t="s">
        <v>52</v>
      </c>
      <c r="AG39" s="60" t="s">
        <v>77</v>
      </c>
    </row>
    <row r="40" spans="2:38" ht="24" customHeight="1" x14ac:dyDescent="0.25">
      <c r="B40" s="45">
        <v>43024</v>
      </c>
      <c r="C40" s="18" t="s">
        <v>36</v>
      </c>
      <c r="D40" s="10">
        <v>341.9</v>
      </c>
      <c r="E40" s="34">
        <f t="shared" si="4"/>
        <v>31715.4</v>
      </c>
      <c r="F40" s="70">
        <v>28.98</v>
      </c>
      <c r="G40" s="8">
        <v>1.137</v>
      </c>
      <c r="H40" s="9">
        <f t="shared" si="15"/>
        <v>32.95026</v>
      </c>
      <c r="I40" s="10">
        <v>58.2</v>
      </c>
      <c r="J40" s="41">
        <f>SUM(I$3:$I40)/COUNT(I$3:$I40)</f>
        <v>56.662162162162161</v>
      </c>
      <c r="K40" s="44">
        <f t="shared" si="13"/>
        <v>53.633844505590055</v>
      </c>
      <c r="L40" s="78">
        <f>IFERROR(K40/$AC$4,"-")</f>
        <v>0.7784302540724245</v>
      </c>
      <c r="M40" s="12">
        <f t="shared" si="16"/>
        <v>51.147778151231563</v>
      </c>
      <c r="N40" s="12">
        <f>SUM(K$4:$K40)/COUNT(K$4:$K40)</f>
        <v>52.584510398399452</v>
      </c>
      <c r="O40" s="11">
        <f t="shared" si="17"/>
        <v>4.5661554944099478</v>
      </c>
      <c r="P40" s="31">
        <f t="shared" si="18"/>
        <v>8.5135711163387418E-2</v>
      </c>
      <c r="Q40" s="12">
        <f>SUM($O$4:O40)/COUNT($O$4:O40)</f>
        <v>4.0776517637627121</v>
      </c>
      <c r="R40" s="32">
        <f>SUM(P$4:$P40)/COUNT(P$4:$P40)</f>
        <v>7.8719207986375245E-2</v>
      </c>
      <c r="S40" s="12">
        <f t="shared" ref="S40:S52" si="19">SUM(Q38:Q40)/3</f>
        <v>4.0681524763425463</v>
      </c>
      <c r="T40" s="13"/>
      <c r="U40" s="13"/>
      <c r="V40" s="12"/>
      <c r="W40" s="12">
        <v>16</v>
      </c>
      <c r="X40" s="12">
        <f t="shared" si="7"/>
        <v>14.700000000000001</v>
      </c>
      <c r="AA40" s="27" t="s">
        <v>19</v>
      </c>
      <c r="AB40" s="25">
        <f>SUMIF(C:C,AA40,K:K)</f>
        <v>110.88054116778633</v>
      </c>
      <c r="AC40" s="25">
        <f>COUNTIF(C:C,AA40)</f>
        <v>2</v>
      </c>
      <c r="AD40" s="26">
        <f t="shared" ref="AD40:AD50" si="20">AB40/AC40</f>
        <v>55.440270583893167</v>
      </c>
      <c r="AE40" s="25">
        <f>SUMIF(C:C,AA40,W:W)</f>
        <v>35.799999999999997</v>
      </c>
      <c r="AF40" s="26">
        <f t="shared" ref="AF40:AF50" si="21">AE40/AC40</f>
        <v>17.899999999999999</v>
      </c>
      <c r="AG40" s="55">
        <f>SUMIF(C:C,AA40,H:H)</f>
        <v>71.789999999999992</v>
      </c>
    </row>
    <row r="41" spans="2:38" ht="24" customHeight="1" x14ac:dyDescent="0.25">
      <c r="B41" s="45">
        <v>43034</v>
      </c>
      <c r="C41" s="18" t="s">
        <v>36</v>
      </c>
      <c r="D41" s="10">
        <v>380.7</v>
      </c>
      <c r="E41" s="34">
        <f t="shared" si="4"/>
        <v>32096.100000000002</v>
      </c>
      <c r="F41" s="70">
        <v>34.14</v>
      </c>
      <c r="G41" s="8">
        <v>1.147</v>
      </c>
      <c r="H41" s="9">
        <f t="shared" si="15"/>
        <v>39.158580000000001</v>
      </c>
      <c r="I41" s="10">
        <v>54.8</v>
      </c>
      <c r="J41" s="41">
        <f>SUM(I$3:$I41)/COUNT(I$3:$I41)</f>
        <v>56.613157894736844</v>
      </c>
      <c r="K41" s="44">
        <f t="shared" si="13"/>
        <v>50.694117712829517</v>
      </c>
      <c r="L41" s="78">
        <f>IFERROR(K41/$AC$4,"-")</f>
        <v>0.73576368233424549</v>
      </c>
      <c r="M41" s="12">
        <f t="shared" si="16"/>
        <v>51.372107729586752</v>
      </c>
      <c r="N41" s="12">
        <f>SUM(K$4:$K41)/COUNT(K$4:$K41)</f>
        <v>52.534763222463404</v>
      </c>
      <c r="O41" s="11">
        <f t="shared" si="17"/>
        <v>4.1058822871704805</v>
      </c>
      <c r="P41" s="31">
        <f t="shared" si="18"/>
        <v>8.0993268497725049E-2</v>
      </c>
      <c r="Q41" s="12">
        <f>SUM($O$4:O41)/COUNT($O$4:O41)</f>
        <v>4.0783946722734434</v>
      </c>
      <c r="R41" s="32">
        <f>SUM(P$4:$P41)/COUNT(P$4:$P41)</f>
        <v>7.8779051684042353E-2</v>
      </c>
      <c r="S41" s="12">
        <f t="shared" si="19"/>
        <v>4.073376217241778</v>
      </c>
      <c r="T41" s="13"/>
      <c r="U41" s="13"/>
      <c r="V41" s="12"/>
      <c r="W41" s="12">
        <v>13</v>
      </c>
      <c r="X41" s="12">
        <f t="shared" si="7"/>
        <v>14.333333333333334</v>
      </c>
      <c r="AA41" s="27" t="s">
        <v>20</v>
      </c>
      <c r="AB41" s="25">
        <f>SUMIF(C:C,AA41,K:K)</f>
        <v>175.98428710256985</v>
      </c>
      <c r="AC41" s="25">
        <f>COUNTIF(C:C,AA41)</f>
        <v>3</v>
      </c>
      <c r="AD41" s="26">
        <f t="shared" si="20"/>
        <v>58.66142903418995</v>
      </c>
      <c r="AE41" s="25">
        <f>SUMIF(C:C,AA41,W:W)</f>
        <v>54.8</v>
      </c>
      <c r="AF41" s="26">
        <f t="shared" si="21"/>
        <v>18.266666666666666</v>
      </c>
      <c r="AG41" s="55">
        <f>SUMIF(C:C,AA41,H:H)</f>
        <v>63.61</v>
      </c>
    </row>
    <row r="42" spans="2:38" ht="24" customHeight="1" x14ac:dyDescent="0.25">
      <c r="B42" s="45">
        <v>43049</v>
      </c>
      <c r="C42" s="18" t="s">
        <v>37</v>
      </c>
      <c r="D42" s="10">
        <v>394.4</v>
      </c>
      <c r="E42" s="34">
        <f t="shared" si="4"/>
        <v>32490.500000000004</v>
      </c>
      <c r="F42" s="70">
        <v>34.9</v>
      </c>
      <c r="G42" s="8">
        <v>1.157</v>
      </c>
      <c r="H42" s="9">
        <f t="shared" si="15"/>
        <v>40.379300000000001</v>
      </c>
      <c r="I42" s="10">
        <v>55.9</v>
      </c>
      <c r="J42" s="41">
        <f>SUM(I$3:$I42)/COUNT(I$3:$I42)</f>
        <v>56.5948717948718</v>
      </c>
      <c r="K42" s="44">
        <f t="shared" si="13"/>
        <v>51.37474605936962</v>
      </c>
      <c r="L42" s="78">
        <f>IFERROR(K42/$AC$4,"-")</f>
        <v>0.74564217792989285</v>
      </c>
      <c r="M42" s="12">
        <f t="shared" si="16"/>
        <v>51.900902759263062</v>
      </c>
      <c r="N42" s="12">
        <f>SUM(K$4:$K42)/COUNT(K$4:$K42)</f>
        <v>52.505019192640489</v>
      </c>
      <c r="O42" s="11">
        <f t="shared" si="17"/>
        <v>4.5252539406303782</v>
      </c>
      <c r="P42" s="31">
        <f t="shared" si="18"/>
        <v>8.8083237149258309E-2</v>
      </c>
      <c r="Q42" s="12">
        <f>SUM($O$4:O42)/COUNT($O$4:O42)</f>
        <v>4.0898526022313133</v>
      </c>
      <c r="R42" s="32">
        <f>SUM(P$4:$P42)/COUNT(P$4:$P42)</f>
        <v>7.90176205421248E-2</v>
      </c>
      <c r="S42" s="12">
        <f t="shared" si="19"/>
        <v>4.0819663460891569</v>
      </c>
      <c r="T42" s="13"/>
      <c r="U42" s="13"/>
      <c r="V42" s="12"/>
      <c r="W42" s="12">
        <v>10.5</v>
      </c>
      <c r="X42" s="12">
        <f t="shared" si="7"/>
        <v>13.166666666666666</v>
      </c>
      <c r="AA42" s="27" t="s">
        <v>21</v>
      </c>
      <c r="AB42" s="25">
        <f>SUMIF(C:C,AA42,K:K)</f>
        <v>108.06972298891478</v>
      </c>
      <c r="AC42" s="25">
        <f>COUNTIF(C:C,AA42)</f>
        <v>2</v>
      </c>
      <c r="AD42" s="26">
        <f t="shared" si="20"/>
        <v>54.034861494457388</v>
      </c>
      <c r="AE42" s="25">
        <f>SUMIF(C:C,AA42,W:W)</f>
        <v>35.4</v>
      </c>
      <c r="AF42" s="26">
        <f t="shared" si="21"/>
        <v>17.7</v>
      </c>
      <c r="AG42" s="55">
        <f>SUMIF(C:C,AA42,H:H)</f>
        <v>70.460000000000008</v>
      </c>
    </row>
    <row r="43" spans="2:38" ht="24" customHeight="1" x14ac:dyDescent="0.25">
      <c r="B43" s="45">
        <v>43063</v>
      </c>
      <c r="C43" s="18" t="s">
        <v>37</v>
      </c>
      <c r="D43" s="10">
        <v>378.4</v>
      </c>
      <c r="E43" s="34">
        <f t="shared" si="4"/>
        <v>32868.9</v>
      </c>
      <c r="F43" s="70">
        <v>35.11</v>
      </c>
      <c r="G43" s="8">
        <v>1.157</v>
      </c>
      <c r="H43" s="9">
        <f t="shared" si="15"/>
        <v>40.62227</v>
      </c>
      <c r="I43" s="10">
        <v>53.2</v>
      </c>
      <c r="J43" s="41">
        <f>SUM(I$3:$I43)/COUNT(I$3:$I43)</f>
        <v>56.510000000000005</v>
      </c>
      <c r="K43" s="44">
        <f t="shared" si="13"/>
        <v>48.995760962460835</v>
      </c>
      <c r="L43" s="78">
        <f>IFERROR(K43/$AC$4,"-")</f>
        <v>0.71111409234340828</v>
      </c>
      <c r="M43" s="12">
        <f t="shared" si="16"/>
        <v>50.354874911553317</v>
      </c>
      <c r="N43" s="12">
        <f>SUM(K$4:$K43)/COUNT(K$4:$K43)</f>
        <v>52.417287736885996</v>
      </c>
      <c r="O43" s="11">
        <f t="shared" si="17"/>
        <v>4.2042390375391676</v>
      </c>
      <c r="P43" s="31">
        <f t="shared" si="18"/>
        <v>8.5808220036838218E-2</v>
      </c>
      <c r="Q43" s="12">
        <f>SUM($O$4:O43)/COUNT($O$4:O43)</f>
        <v>4.0927122631140103</v>
      </c>
      <c r="R43" s="32">
        <f>SUM(P$4:$P43)/COUNT(P$4:$P43)</f>
        <v>7.9187385529492643E-2</v>
      </c>
      <c r="S43" s="12">
        <f t="shared" si="19"/>
        <v>4.086986512539589</v>
      </c>
      <c r="T43" s="13"/>
      <c r="U43" s="13"/>
      <c r="V43" s="12"/>
      <c r="W43" s="12">
        <v>9.3000000000000007</v>
      </c>
      <c r="X43" s="12">
        <f t="shared" si="7"/>
        <v>10.933333333333332</v>
      </c>
      <c r="AA43" s="27" t="s">
        <v>22</v>
      </c>
      <c r="AB43" s="25">
        <f>SUMIF(C:C,AA43,K:K)</f>
        <v>208.33503307585576</v>
      </c>
      <c r="AC43" s="25">
        <f>COUNTIF(C:C,AA43)</f>
        <v>4</v>
      </c>
      <c r="AD43" s="26">
        <f t="shared" si="20"/>
        <v>52.08375826896394</v>
      </c>
      <c r="AE43" s="25">
        <f>SUMIF(C:C,AA43,W:W)</f>
        <v>50.400000000000006</v>
      </c>
      <c r="AF43" s="26">
        <f t="shared" si="21"/>
        <v>12.600000000000001</v>
      </c>
      <c r="AG43" s="55">
        <f>SUMIF(C:C,AA43,H:H)</f>
        <v>114.20865000000001</v>
      </c>
    </row>
    <row r="44" spans="2:38" ht="24" customHeight="1" x14ac:dyDescent="0.25">
      <c r="B44" s="45">
        <v>43078</v>
      </c>
      <c r="C44" s="18" t="s">
        <v>38</v>
      </c>
      <c r="D44" s="10">
        <v>326.89999999999998</v>
      </c>
      <c r="E44" s="34">
        <f t="shared" si="4"/>
        <v>33195.800000000003</v>
      </c>
      <c r="F44" s="70">
        <v>30.97</v>
      </c>
      <c r="G44" s="8">
        <v>1.157</v>
      </c>
      <c r="H44" s="9">
        <f t="shared" si="15"/>
        <v>35.83229</v>
      </c>
      <c r="I44" s="10">
        <v>52.2</v>
      </c>
      <c r="J44" s="41">
        <f>SUM(I$3:$I44)/COUNT(I$3:$I44)</f>
        <v>56.404878048780489</v>
      </c>
      <c r="K44" s="44">
        <f t="shared" si="13"/>
        <v>47.985709898999026</v>
      </c>
      <c r="L44" s="78">
        <f>IFERROR(K44/$AC$4,"-")</f>
        <v>0.69645442523946333</v>
      </c>
      <c r="M44" s="12">
        <f t="shared" si="16"/>
        <v>49.452072306943165</v>
      </c>
      <c r="N44" s="12">
        <f>SUM(K$4:$K44)/COUNT(K$4:$K44)</f>
        <v>52.309200472547296</v>
      </c>
      <c r="O44" s="11">
        <f t="shared" si="17"/>
        <v>4.2142901010009766</v>
      </c>
      <c r="P44" s="31">
        <f t="shared" si="18"/>
        <v>8.782385651626852E-2</v>
      </c>
      <c r="Q44" s="12">
        <f>SUM($O$4:O44)/COUNT($O$4:O44)</f>
        <v>4.0956775762332045</v>
      </c>
      <c r="R44" s="32">
        <f>SUM(P$4:$P44)/COUNT(P$4:$P44)</f>
        <v>7.9398031163316438E-2</v>
      </c>
      <c r="S44" s="12">
        <f t="shared" si="19"/>
        <v>4.0927474805261754</v>
      </c>
      <c r="T44" s="13"/>
      <c r="U44" s="13"/>
      <c r="V44" s="12"/>
      <c r="W44" s="12">
        <v>6.3</v>
      </c>
      <c r="X44" s="12">
        <f t="shared" si="7"/>
        <v>8.7000000000000011</v>
      </c>
      <c r="AA44" s="27" t="s">
        <v>23</v>
      </c>
      <c r="AB44" s="25">
        <f>SUMIF(C:C,AA44,K:K)</f>
        <v>100.99207351468235</v>
      </c>
      <c r="AC44" s="25">
        <f>COUNTIF(C:C,AA44)</f>
        <v>2</v>
      </c>
      <c r="AD44" s="26">
        <f t="shared" si="20"/>
        <v>50.496036757341173</v>
      </c>
      <c r="AE44" s="25">
        <f>SUMIF(C:C,AA44,W:W)</f>
        <v>16</v>
      </c>
      <c r="AF44" s="26">
        <f t="shared" si="21"/>
        <v>8</v>
      </c>
      <c r="AG44" s="55">
        <f>SUMIF(C:C,AA44,H:H)</f>
        <v>67.551410000000004</v>
      </c>
    </row>
    <row r="45" spans="2:38" ht="24" customHeight="1" x14ac:dyDescent="0.25">
      <c r="B45" s="45">
        <v>43087</v>
      </c>
      <c r="C45" s="18" t="s">
        <v>38</v>
      </c>
      <c r="D45" s="10">
        <v>359.8</v>
      </c>
      <c r="E45" s="34">
        <f t="shared" si="4"/>
        <v>33555.600000000006</v>
      </c>
      <c r="F45" s="70">
        <v>33.46</v>
      </c>
      <c r="G45" s="8">
        <v>1.1990000000000001</v>
      </c>
      <c r="H45" s="9">
        <f t="shared" si="15"/>
        <v>40.118540000000003</v>
      </c>
      <c r="I45" s="10">
        <v>52.9</v>
      </c>
      <c r="J45" s="41">
        <f>SUM(I$3:$I45)/COUNT(I$3:$I45)</f>
        <v>56.321428571428569</v>
      </c>
      <c r="K45" s="44">
        <f t="shared" si="13"/>
        <v>48.884753688702929</v>
      </c>
      <c r="L45" s="78">
        <f>IFERROR(K45/$AC$4,"-")</f>
        <v>0.7095029562946723</v>
      </c>
      <c r="M45" s="12">
        <f t="shared" si="16"/>
        <v>48.622074850054254</v>
      </c>
      <c r="N45" s="12">
        <f>SUM(K$4:$K45)/COUNT(K$4:$K45)</f>
        <v>52.227666025312907</v>
      </c>
      <c r="O45" s="11">
        <f t="shared" si="17"/>
        <v>4.0152463112970693</v>
      </c>
      <c r="P45" s="31">
        <f t="shared" si="18"/>
        <v>8.2136985630858902E-2</v>
      </c>
      <c r="Q45" s="12">
        <f>SUM($O$4:O45)/COUNT($O$4:O45)</f>
        <v>4.093762546115677</v>
      </c>
      <c r="R45" s="32">
        <f>SUM(P$4:$P45)/COUNT(P$4:$P45)</f>
        <v>7.9463244364924593E-2</v>
      </c>
      <c r="S45" s="12">
        <f t="shared" si="19"/>
        <v>4.0940507951542973</v>
      </c>
      <c r="T45" s="13"/>
      <c r="U45" s="13"/>
      <c r="V45" s="12"/>
      <c r="W45" s="12">
        <v>3.8</v>
      </c>
      <c r="X45" s="12">
        <f t="shared" si="7"/>
        <v>6.4666666666666677</v>
      </c>
      <c r="AA45" s="27" t="s">
        <v>24</v>
      </c>
      <c r="AB45" s="25">
        <f>SUMIF(C:C,AA45,K:K)</f>
        <v>152.65134147292116</v>
      </c>
      <c r="AC45" s="25">
        <f>COUNTIF(C:C,AA45)</f>
        <v>3</v>
      </c>
      <c r="AD45" s="26">
        <f t="shared" si="20"/>
        <v>50.88378049097372</v>
      </c>
      <c r="AE45" s="25">
        <f>SUMIF(C:C,AA45,W:W)</f>
        <v>23.299999999999997</v>
      </c>
      <c r="AF45" s="26">
        <f t="shared" si="21"/>
        <v>7.7666666666666657</v>
      </c>
      <c r="AG45" s="55">
        <f>SUMIF(C:C,AA45,H:H)</f>
        <v>103.99073999999999</v>
      </c>
    </row>
    <row r="46" spans="2:38" ht="24" customHeight="1" x14ac:dyDescent="0.25">
      <c r="B46" s="45">
        <v>43095</v>
      </c>
      <c r="C46" s="18" t="s">
        <v>38</v>
      </c>
      <c r="D46" s="10">
        <v>302.7</v>
      </c>
      <c r="E46" s="34">
        <f t="shared" si="4"/>
        <v>33858.300000000003</v>
      </c>
      <c r="F46" s="70">
        <v>28.12</v>
      </c>
      <c r="G46" s="8">
        <v>1.137</v>
      </c>
      <c r="H46" s="9">
        <f t="shared" si="15"/>
        <v>31.972440000000002</v>
      </c>
      <c r="I46" s="10">
        <v>54.4</v>
      </c>
      <c r="J46" s="41">
        <f>SUM(I$3:$I46)/COUNT(I$3:$I46)</f>
        <v>56.276744186046514</v>
      </c>
      <c r="K46" s="44">
        <f t="shared" si="13"/>
        <v>48.936771410953057</v>
      </c>
      <c r="L46" s="78">
        <f>IFERROR(K46/$AC$4,"-")</f>
        <v>0.7102579304927874</v>
      </c>
      <c r="M46" s="12">
        <f t="shared" si="16"/>
        <v>48.602411666218337</v>
      </c>
      <c r="N46" s="12">
        <f>SUM(K$4:$K46)/COUNT(K$4:$K46)</f>
        <v>52.151133592420813</v>
      </c>
      <c r="O46" s="11">
        <f t="shared" si="17"/>
        <v>5.4632285890469419</v>
      </c>
      <c r="P46" s="31">
        <f t="shared" si="18"/>
        <v>0.11163851704005465</v>
      </c>
      <c r="Q46" s="12">
        <f>SUM($O$4:O46)/COUNT($O$4:O46)</f>
        <v>4.1256105936257068</v>
      </c>
      <c r="R46" s="32">
        <f>SUM(P$4:$P46)/COUNT(P$4:$P46)</f>
        <v>8.0211506520160167E-2</v>
      </c>
      <c r="S46" s="12">
        <f t="shared" si="19"/>
        <v>4.1050169053248622</v>
      </c>
      <c r="T46" s="13"/>
      <c r="U46" s="13"/>
      <c r="V46" s="12"/>
      <c r="W46" s="12">
        <v>8.5</v>
      </c>
      <c r="X46" s="12">
        <f t="shared" si="7"/>
        <v>6.2</v>
      </c>
      <c r="AA46" s="27" t="s">
        <v>25</v>
      </c>
      <c r="AB46" s="25">
        <f>SUMIF(C:C,AA46,K:K)</f>
        <v>101.33306680381421</v>
      </c>
      <c r="AC46" s="25">
        <f>COUNTIF(C:C,AA46)</f>
        <v>2</v>
      </c>
      <c r="AD46" s="26">
        <f t="shared" si="20"/>
        <v>50.666533401907103</v>
      </c>
      <c r="AE46" s="25">
        <f>SUMIF(C:C,AA46,W:W)</f>
        <v>11.600000000000001</v>
      </c>
      <c r="AF46" s="26">
        <f t="shared" si="21"/>
        <v>5.8000000000000007</v>
      </c>
      <c r="AG46" s="55">
        <f>SUMIF(C:C,AA46,H:H)</f>
        <v>72.132270000000005</v>
      </c>
    </row>
    <row r="47" spans="2:38" ht="24" customHeight="1" x14ac:dyDescent="0.25">
      <c r="B47" s="45">
        <v>43110</v>
      </c>
      <c r="C47" s="18" t="s">
        <v>39</v>
      </c>
      <c r="D47" s="10">
        <v>360</v>
      </c>
      <c r="E47" s="34">
        <f t="shared" si="4"/>
        <v>34218.300000000003</v>
      </c>
      <c r="F47" s="70">
        <v>34.57</v>
      </c>
      <c r="G47" s="8">
        <v>1.167</v>
      </c>
      <c r="H47" s="9">
        <f t="shared" si="15"/>
        <v>40.34319</v>
      </c>
      <c r="I47" s="10">
        <v>51.1</v>
      </c>
      <c r="J47" s="41">
        <f>SUM(I$3:$I47)/COUNT(I$3:$I47)</f>
        <v>56.159090909090907</v>
      </c>
      <c r="K47" s="44">
        <f t="shared" si="13"/>
        <v>47.341425420885159</v>
      </c>
      <c r="L47" s="78">
        <f>IFERROR(K47/$AC$4,"-")</f>
        <v>0.68710341684884113</v>
      </c>
      <c r="M47" s="12">
        <f t="shared" si="16"/>
        <v>48.387650173513713</v>
      </c>
      <c r="N47" s="12">
        <f>SUM(K$4:$K47)/COUNT(K$4:$K47)</f>
        <v>52.041822043067732</v>
      </c>
      <c r="O47" s="11">
        <f t="shared" si="17"/>
        <v>3.7585745791148426</v>
      </c>
      <c r="P47" s="31">
        <f t="shared" si="18"/>
        <v>7.9392932208938283E-2</v>
      </c>
      <c r="Q47" s="12">
        <f>SUM($O$4:O47)/COUNT($O$4:O47)</f>
        <v>4.1172688660231875</v>
      </c>
      <c r="R47" s="32">
        <f>SUM(P$4:$P47)/COUNT(P$4:$P47)</f>
        <v>8.0192902558541487E-2</v>
      </c>
      <c r="S47" s="12">
        <f t="shared" si="19"/>
        <v>4.1122140019215232</v>
      </c>
      <c r="T47" s="13"/>
      <c r="U47" s="13"/>
      <c r="V47" s="12"/>
      <c r="W47" s="12">
        <v>5.32</v>
      </c>
      <c r="X47" s="12">
        <f t="shared" si="7"/>
        <v>5.873333333333334</v>
      </c>
      <c r="AA47" s="27" t="s">
        <v>26</v>
      </c>
      <c r="AB47" s="25">
        <f>SUMIF(C:C,AA47,K:K)</f>
        <v>102.56760608233051</v>
      </c>
      <c r="AC47" s="25">
        <f>COUNTIF(C:C,AA47)</f>
        <v>2</v>
      </c>
      <c r="AD47" s="26">
        <f t="shared" si="20"/>
        <v>51.283803041165257</v>
      </c>
      <c r="AE47" s="25">
        <f>SUMIF(C:C,AA47,W:W)</f>
        <v>14.5</v>
      </c>
      <c r="AF47" s="26">
        <f t="shared" si="21"/>
        <v>7.25</v>
      </c>
      <c r="AG47" s="55">
        <f>SUMIF(C:C,AA47,H:H)</f>
        <v>79.029240000000001</v>
      </c>
    </row>
    <row r="48" spans="2:38" ht="24" customHeight="1" x14ac:dyDescent="0.25">
      <c r="B48" s="45">
        <v>43123</v>
      </c>
      <c r="C48" s="18" t="s">
        <v>39</v>
      </c>
      <c r="D48" s="10">
        <v>343.1</v>
      </c>
      <c r="E48" s="34">
        <f t="shared" si="4"/>
        <v>34561.4</v>
      </c>
      <c r="F48" s="70">
        <v>32.83</v>
      </c>
      <c r="G48" s="8">
        <v>1.177</v>
      </c>
      <c r="H48" s="9">
        <f t="shared" si="15"/>
        <v>38.640909999999998</v>
      </c>
      <c r="I48" s="10">
        <v>51.4</v>
      </c>
      <c r="J48" s="41">
        <f>SUM(I$3:$I48)/COUNT(I$3:$I48)</f>
        <v>56.053333333333335</v>
      </c>
      <c r="K48" s="44">
        <f t="shared" si="13"/>
        <v>47.510329699299426</v>
      </c>
      <c r="L48" s="78">
        <f>IFERROR(K48/$AC$4,"-")</f>
        <v>0.68955485775470859</v>
      </c>
      <c r="M48" s="12">
        <f t="shared" si="16"/>
        <v>47.929508843712547</v>
      </c>
      <c r="N48" s="12">
        <f>SUM(K$4:$K48)/COUNT(K$4:$K48)</f>
        <v>51.941122213206206</v>
      </c>
      <c r="O48" s="11">
        <f t="shared" si="17"/>
        <v>3.8896703007005726</v>
      </c>
      <c r="P48" s="31">
        <f t="shared" si="18"/>
        <v>8.1869991753770729E-2</v>
      </c>
      <c r="Q48" s="12">
        <f>SUM($O$4:O48)/COUNT($O$4:O48)</f>
        <v>4.112211120127129</v>
      </c>
      <c r="R48" s="32">
        <f>SUM(P$4:$P48)/COUNT(P$4:$P48)</f>
        <v>8.0230171207324369E-2</v>
      </c>
      <c r="S48" s="12">
        <f t="shared" si="19"/>
        <v>4.1183635265920069</v>
      </c>
      <c r="T48" s="13"/>
      <c r="U48" s="13"/>
      <c r="V48" s="12"/>
      <c r="W48" s="12">
        <v>5.6</v>
      </c>
      <c r="X48" s="12">
        <f t="shared" si="7"/>
        <v>6.4733333333333336</v>
      </c>
      <c r="AA48" s="27" t="s">
        <v>27</v>
      </c>
      <c r="AB48" s="25">
        <f>SUMIF(C:C,AA48,K:K)</f>
        <v>102.54603028133263</v>
      </c>
      <c r="AC48" s="25">
        <f>COUNTIF(C:C,AA48)</f>
        <v>2</v>
      </c>
      <c r="AD48" s="26">
        <f t="shared" si="20"/>
        <v>51.273015140666317</v>
      </c>
      <c r="AE48" s="25">
        <f>SUMIF(C:C,AA48,W:W)</f>
        <v>15</v>
      </c>
      <c r="AF48" s="26">
        <f t="shared" si="21"/>
        <v>7.5</v>
      </c>
      <c r="AG48" s="55">
        <f>SUMIF(C:C,AA48,H:H)</f>
        <v>61.944360000000003</v>
      </c>
    </row>
    <row r="49" spans="2:38" ht="24" customHeight="1" x14ac:dyDescent="0.25">
      <c r="B49" s="45">
        <v>43134</v>
      </c>
      <c r="C49" s="18" t="s">
        <v>40</v>
      </c>
      <c r="D49" s="10">
        <v>274.10000000000002</v>
      </c>
      <c r="E49" s="34">
        <f t="shared" si="4"/>
        <v>34835.5</v>
      </c>
      <c r="F49" s="70">
        <v>24.69</v>
      </c>
      <c r="G49" s="8">
        <v>1.157</v>
      </c>
      <c r="H49" s="9">
        <f t="shared" si="15"/>
        <v>28.566330000000001</v>
      </c>
      <c r="I49" s="10">
        <v>55.5</v>
      </c>
      <c r="J49" s="41">
        <f>SUM(I$3:$I49)/COUNT(I$3:$I49)</f>
        <v>56.041304347826092</v>
      </c>
      <c r="K49" s="44">
        <f t="shared" si="13"/>
        <v>50.469169068772779</v>
      </c>
      <c r="L49" s="78">
        <f>IFERROR(K49/$AC$4,"-")</f>
        <v>0.7324988253813175</v>
      </c>
      <c r="M49" s="12">
        <f>SUM(K47:K49)/3</f>
        <v>48.440308062985785</v>
      </c>
      <c r="N49" s="12">
        <f>SUM(K$4:$K49)/COUNT(K$4:$K49)</f>
        <v>51.909123231805481</v>
      </c>
      <c r="O49" s="11">
        <f t="shared" si="17"/>
        <v>5.0308309312272215</v>
      </c>
      <c r="P49" s="31">
        <f t="shared" si="18"/>
        <v>9.9681271240504549E-2</v>
      </c>
      <c r="Q49" s="12">
        <f>SUM($O$4:O49)/COUNT($O$4:O49)</f>
        <v>4.1321811160206092</v>
      </c>
      <c r="R49" s="32">
        <f>SUM(P$4:$P49)/COUNT(P$4:$P49)</f>
        <v>8.0653021208045669E-2</v>
      </c>
      <c r="S49" s="12">
        <f t="shared" si="19"/>
        <v>4.1205537007236419</v>
      </c>
      <c r="T49" s="13"/>
      <c r="U49" s="13"/>
      <c r="V49" s="12"/>
      <c r="W49" s="12">
        <v>7.1</v>
      </c>
      <c r="X49" s="12">
        <f t="shared" si="7"/>
        <v>6.0066666666666668</v>
      </c>
      <c r="AA49" s="27" t="s">
        <v>28</v>
      </c>
      <c r="AB49" s="25">
        <f>SUMIF(C:C,AA49,K:K)</f>
        <v>51.434404073033704</v>
      </c>
      <c r="AC49" s="25">
        <f>COUNTIF(C:C,AA49)</f>
        <v>1</v>
      </c>
      <c r="AD49" s="26">
        <f t="shared" si="20"/>
        <v>51.434404073033704</v>
      </c>
      <c r="AE49" s="25">
        <f>SUMIF(C:C,AA49,W:W)</f>
        <v>10.199999999999999</v>
      </c>
      <c r="AF49" s="26">
        <f t="shared" si="21"/>
        <v>10.199999999999999</v>
      </c>
      <c r="AG49" s="55">
        <f>SUMIF(C:C,AA49,H:H)</f>
        <v>36.749879999999997</v>
      </c>
    </row>
    <row r="50" spans="2:38" ht="24" customHeight="1" x14ac:dyDescent="0.25">
      <c r="B50" s="45">
        <v>43149</v>
      </c>
      <c r="C50" s="18" t="s">
        <v>40</v>
      </c>
      <c r="D50" s="10">
        <v>369.6</v>
      </c>
      <c r="E50" s="34">
        <f t="shared" si="4"/>
        <v>35205.1</v>
      </c>
      <c r="F50" s="70">
        <v>34.700000000000003</v>
      </c>
      <c r="G50" s="8">
        <v>1.157</v>
      </c>
      <c r="H50" s="9">
        <f t="shared" si="15"/>
        <v>40.147900000000007</v>
      </c>
      <c r="I50" s="10">
        <v>52.6</v>
      </c>
      <c r="J50" s="41">
        <f>SUM(I$3:$I50)/COUNT(I$3:$I50)</f>
        <v>55.968085106382979</v>
      </c>
      <c r="K50" s="44">
        <f t="shared" si="13"/>
        <v>48.421774030201725</v>
      </c>
      <c r="L50" s="78">
        <f>IFERROR(K50/$AC$4,"-")</f>
        <v>0.7027833676371803</v>
      </c>
      <c r="M50" s="12">
        <f>SUM(K48:K50)/3</f>
        <v>48.800424266091312</v>
      </c>
      <c r="N50" s="12">
        <f>SUM(K$4:$K50)/COUNT(K$4:$K50)</f>
        <v>51.83492431262242</v>
      </c>
      <c r="O50" s="11">
        <f t="shared" si="17"/>
        <v>4.1782259697982767</v>
      </c>
      <c r="P50" s="31">
        <f t="shared" si="18"/>
        <v>8.6288163816390234E-2</v>
      </c>
      <c r="Q50" s="12">
        <f>SUM($O$4:O50)/COUNT($O$4:O50)</f>
        <v>4.1331607937605597</v>
      </c>
      <c r="R50" s="32">
        <f>SUM(P$4:$P50)/COUNT(P$4:$P50)</f>
        <v>8.0772917859287058E-2</v>
      </c>
      <c r="S50" s="12">
        <f t="shared" si="19"/>
        <v>4.1258510099694332</v>
      </c>
      <c r="T50" s="13"/>
      <c r="U50" s="13"/>
      <c r="V50" s="12"/>
      <c r="W50" s="12">
        <v>4.7</v>
      </c>
      <c r="X50" s="12">
        <f t="shared" si="7"/>
        <v>5.8</v>
      </c>
      <c r="AA50" s="27" t="s">
        <v>31</v>
      </c>
      <c r="AB50" s="25">
        <f>SUMIF(C:C,AA50,K:K)</f>
        <v>162.90476081995024</v>
      </c>
      <c r="AC50" s="25">
        <f>COUNTIF(C:C,AA50)</f>
        <v>3</v>
      </c>
      <c r="AD50" s="26">
        <f t="shared" si="20"/>
        <v>54.301586939983416</v>
      </c>
      <c r="AE50" s="25">
        <f>SUMIF(C:C,AA50,W:W)</f>
        <v>44.4</v>
      </c>
      <c r="AF50" s="26">
        <f t="shared" si="21"/>
        <v>14.799999999999999</v>
      </c>
      <c r="AG50" s="55">
        <f>SUMIF(C:C,AA50,H:H)</f>
        <v>101.26751999999999</v>
      </c>
    </row>
    <row r="51" spans="2:38" ht="24" customHeight="1" x14ac:dyDescent="0.25">
      <c r="B51" s="45">
        <v>43152</v>
      </c>
      <c r="C51" s="18" t="s">
        <v>40</v>
      </c>
      <c r="D51" s="10">
        <v>102.9</v>
      </c>
      <c r="E51" s="34">
        <f t="shared" si="4"/>
        <v>35308</v>
      </c>
      <c r="F51" s="70">
        <v>9.5399999999999991</v>
      </c>
      <c r="G51" s="8">
        <v>1.147</v>
      </c>
      <c r="H51" s="9">
        <f t="shared" si="15"/>
        <v>10.94238</v>
      </c>
      <c r="I51" s="10">
        <v>52.2</v>
      </c>
      <c r="J51" s="41">
        <f>SUM(I$3:$I51)/COUNT(I$3:$I51)</f>
        <v>55.889583333333327</v>
      </c>
      <c r="K51" s="44">
        <f t="shared" si="13"/>
        <v>49.034890403773595</v>
      </c>
      <c r="L51" s="78">
        <f>IFERROR(K51/$AC$4,"-")</f>
        <v>0.711682008763042</v>
      </c>
      <c r="M51" s="12">
        <f t="shared" si="16"/>
        <v>49.308611167582704</v>
      </c>
      <c r="N51" s="12">
        <f>SUM(K$4:$K51)/COUNT(K$4:$K51)</f>
        <v>51.77659027285474</v>
      </c>
      <c r="O51" s="11">
        <f t="shared" si="17"/>
        <v>3.165109596226408</v>
      </c>
      <c r="P51" s="31">
        <f t="shared" si="18"/>
        <v>6.4548111970141764E-2</v>
      </c>
      <c r="Q51" s="12">
        <f>SUM($O$4:O51)/COUNT($O$4:O51)</f>
        <v>4.1129930604785985</v>
      </c>
      <c r="R51" s="32">
        <f>SUM(P$4:$P51)/COUNT(P$4:$P51)</f>
        <v>8.0434901069929857E-2</v>
      </c>
      <c r="S51" s="12">
        <f t="shared" si="19"/>
        <v>4.1261116567532561</v>
      </c>
      <c r="T51" s="13"/>
      <c r="U51" s="13"/>
      <c r="V51" s="12"/>
      <c r="W51" s="12">
        <v>7.3</v>
      </c>
      <c r="X51" s="12">
        <f t="shared" si="7"/>
        <v>6.3666666666666671</v>
      </c>
      <c r="AA51" s="27" t="s">
        <v>32</v>
      </c>
      <c r="AB51" s="25">
        <f>SUMIF(C:C,AA51,K:K)</f>
        <v>110.01501699620141</v>
      </c>
      <c r="AC51" s="25">
        <f>COUNTIF(C:C,AA51)</f>
        <v>2</v>
      </c>
      <c r="AD51" s="26">
        <f t="shared" ref="AD51:AD59" si="22">AB51/AC51</f>
        <v>55.007508498100705</v>
      </c>
      <c r="AE51" s="25">
        <f>SUMIF(C:C,AA51,W:W)</f>
        <v>33.599999999999994</v>
      </c>
      <c r="AF51" s="26">
        <f t="shared" ref="AF51:AF59" si="23">AE51/AC51</f>
        <v>16.799999999999997</v>
      </c>
      <c r="AG51" s="55">
        <f>SUMIF(C:C,AA51,H:H)</f>
        <v>65.148740000000004</v>
      </c>
    </row>
    <row r="52" spans="2:38" ht="24" customHeight="1" x14ac:dyDescent="0.25">
      <c r="B52" s="45">
        <v>43157</v>
      </c>
      <c r="C52" s="18" t="s">
        <v>40</v>
      </c>
      <c r="D52" s="10">
        <v>348.1</v>
      </c>
      <c r="E52" s="34">
        <f t="shared" si="4"/>
        <v>35656.1</v>
      </c>
      <c r="F52" s="70">
        <v>31.6</v>
      </c>
      <c r="G52" s="8">
        <v>1.137</v>
      </c>
      <c r="H52" s="9">
        <f t="shared" si="15"/>
        <v>35.929200000000002</v>
      </c>
      <c r="I52" s="10">
        <v>54.3</v>
      </c>
      <c r="J52" s="41">
        <f>SUM(I$3:$I52)/COUNT(I$3:$I52)</f>
        <v>55.857142857142854</v>
      </c>
      <c r="K52" s="44">
        <f t="shared" si="13"/>
        <v>50.078942513544298</v>
      </c>
      <c r="L52" s="78">
        <f>IFERROR(K52/$AC$4,"-")</f>
        <v>0.72683515984824809</v>
      </c>
      <c r="M52" s="12">
        <f t="shared" si="16"/>
        <v>49.178535649173206</v>
      </c>
      <c r="N52" s="12">
        <f>SUM(K$4:$K52)/COUNT(K$4:$K52)</f>
        <v>51.74194440021575</v>
      </c>
      <c r="O52" s="11">
        <f t="shared" si="17"/>
        <v>4.2210574864556989</v>
      </c>
      <c r="P52" s="31">
        <f t="shared" si="18"/>
        <v>8.4288071484618032E-2</v>
      </c>
      <c r="Q52" s="12">
        <f>SUM($O$4:O52)/COUNT($O$4:O52)</f>
        <v>4.1151984569271107</v>
      </c>
      <c r="R52" s="32">
        <f>SUM(P$4:$P52)/COUNT(P$4:$P52)</f>
        <v>8.0513537200841867E-2</v>
      </c>
      <c r="S52" s="12">
        <f t="shared" si="19"/>
        <v>4.1204507703887563</v>
      </c>
      <c r="T52" s="13"/>
      <c r="U52" s="13"/>
      <c r="V52" s="12"/>
      <c r="W52" s="12">
        <v>4.3</v>
      </c>
      <c r="X52" s="12">
        <f t="shared" si="7"/>
        <v>5.4333333333333336</v>
      </c>
      <c r="AA52" s="27" t="s">
        <v>33</v>
      </c>
      <c r="AB52" s="25">
        <f>SUMIF(C:C,AA52,K:K)</f>
        <v>100.68549903386834</v>
      </c>
      <c r="AC52" s="25">
        <f>COUNTIF(C:C,AA52)</f>
        <v>2</v>
      </c>
      <c r="AD52" s="26">
        <f t="shared" si="22"/>
        <v>50.34274951693417</v>
      </c>
      <c r="AE52" s="25">
        <f>SUMIF(C:C,AA52,W:W)</f>
        <v>35.299999999999997</v>
      </c>
      <c r="AF52" s="26">
        <f t="shared" si="23"/>
        <v>17.649999999999999</v>
      </c>
      <c r="AG52" s="55">
        <f>SUMIF(C:C,AA52,H:H)</f>
        <v>69.879519999999999</v>
      </c>
    </row>
    <row r="53" spans="2:38" s="24" customFormat="1" ht="24" customHeight="1" x14ac:dyDescent="0.25">
      <c r="B53" s="45">
        <v>43169</v>
      </c>
      <c r="C53" s="18" t="s">
        <v>30</v>
      </c>
      <c r="D53" s="10">
        <v>314.5</v>
      </c>
      <c r="E53" s="34">
        <f t="shared" ref="E53:E62" si="24">E52+D53</f>
        <v>35970.6</v>
      </c>
      <c r="F53" s="70">
        <v>30.25</v>
      </c>
      <c r="G53" s="8">
        <v>1.137</v>
      </c>
      <c r="H53" s="9">
        <f t="shared" ref="H53:H62" si="25">G53*F53</f>
        <v>34.39425</v>
      </c>
      <c r="I53" s="10">
        <v>51.2</v>
      </c>
      <c r="J53" s="41">
        <f>SUM(I$3:$I53)/COUNT(I$3:$I53)</f>
        <v>55.763999999999996</v>
      </c>
      <c r="K53" s="44">
        <f t="shared" ref="K53:K62" si="26">IFERROR(D53/(F53/4.54609188),"-")</f>
        <v>47.264327149090903</v>
      </c>
      <c r="L53" s="78">
        <f>IFERROR(K53/$AC$4,"-")</f>
        <v>0.68598442886924382</v>
      </c>
      <c r="M53" s="12">
        <f t="shared" ref="M53:M62" si="27">SUM(K51:K53)/3</f>
        <v>48.792720022136258</v>
      </c>
      <c r="N53" s="12">
        <f>SUM(K$4:$K53)/COUNT(K$4:$K53)</f>
        <v>51.65239205519326</v>
      </c>
      <c r="O53" s="11">
        <f t="shared" si="17"/>
        <v>3.9356728509090999</v>
      </c>
      <c r="P53" s="31">
        <f t="shared" si="18"/>
        <v>8.3269414552213719E-2</v>
      </c>
      <c r="Q53" s="12">
        <f>SUM($O$4:O53)/COUNT($O$4:O53)</f>
        <v>4.1116079448067504</v>
      </c>
      <c r="R53" s="32">
        <f>SUM(P$4:$P53)/COUNT(P$4:$P53)</f>
        <v>8.0568654747869298E-2</v>
      </c>
      <c r="S53" s="12">
        <f t="shared" ref="S53:S62" si="28">SUM(Q51:Q53)/3</f>
        <v>4.1132664874041529</v>
      </c>
      <c r="T53" s="13"/>
      <c r="U53" s="13"/>
      <c r="V53" s="12"/>
      <c r="W53" s="12">
        <v>3.7</v>
      </c>
      <c r="X53" s="12">
        <f t="shared" ref="X53:X62" si="29">SUM(W51:W53)/3</f>
        <v>5.1000000000000005</v>
      </c>
      <c r="AA53" s="27" t="s">
        <v>35</v>
      </c>
      <c r="AB53" s="25">
        <f>SUMIF(C:C,AA53,K:K)</f>
        <v>103.00108952812333</v>
      </c>
      <c r="AC53" s="25">
        <f>COUNTIF(C:C,AA53)</f>
        <v>2</v>
      </c>
      <c r="AD53" s="26">
        <f t="shared" si="22"/>
        <v>51.500544764061665</v>
      </c>
      <c r="AE53" s="25">
        <f>SUMIF(C:C,AA53,W:W)</f>
        <v>34.6</v>
      </c>
      <c r="AF53" s="26">
        <f t="shared" si="23"/>
        <v>17.3</v>
      </c>
      <c r="AG53" s="55">
        <f>SUMIF(C:C,AA53,H:H)</f>
        <v>66.802320000000009</v>
      </c>
      <c r="AH53"/>
      <c r="AI53"/>
      <c r="AJ53"/>
      <c r="AK53"/>
      <c r="AL53"/>
    </row>
    <row r="54" spans="2:38" s="24" customFormat="1" ht="24" customHeight="1" x14ac:dyDescent="0.25">
      <c r="B54" s="45">
        <v>43182</v>
      </c>
      <c r="C54" s="18" t="s">
        <v>30</v>
      </c>
      <c r="D54" s="10">
        <v>336.1</v>
      </c>
      <c r="E54" s="34">
        <f t="shared" si="24"/>
        <v>36306.699999999997</v>
      </c>
      <c r="F54" s="70">
        <v>31</v>
      </c>
      <c r="G54" s="8">
        <v>1.137</v>
      </c>
      <c r="H54" s="9">
        <f t="shared" si="25"/>
        <v>35.247</v>
      </c>
      <c r="I54" s="10">
        <v>53</v>
      </c>
      <c r="J54" s="41">
        <f>SUM(I$3:$I54)/COUNT(I$3:$I54)</f>
        <v>55.709803921568621</v>
      </c>
      <c r="K54" s="44">
        <f t="shared" si="26"/>
        <v>49.288434866709672</v>
      </c>
      <c r="L54" s="78">
        <f>IFERROR(K54/$AC$4,"-")</f>
        <v>0.71536189937169326</v>
      </c>
      <c r="M54" s="12">
        <f t="shared" si="27"/>
        <v>48.877234843114962</v>
      </c>
      <c r="N54" s="12">
        <f>SUM(K$4:$K54)/COUNT(K$4:$K54)</f>
        <v>51.606039953458293</v>
      </c>
      <c r="O54" s="11">
        <f t="shared" si="17"/>
        <v>3.7115651332903283</v>
      </c>
      <c r="P54" s="31">
        <f t="shared" si="18"/>
        <v>7.5302961908356086E-2</v>
      </c>
      <c r="Q54" s="12">
        <f>SUM($O$4:O54)/COUNT($O$4:O54)</f>
        <v>4.1037639681103499</v>
      </c>
      <c r="R54" s="32">
        <f>SUM(P$4:$P54)/COUNT(P$4:$P54)</f>
        <v>8.0465405868663159E-2</v>
      </c>
      <c r="S54" s="12">
        <f t="shared" si="28"/>
        <v>4.1101901232814031</v>
      </c>
      <c r="T54" s="13"/>
      <c r="U54" s="13"/>
      <c r="V54" s="12"/>
      <c r="W54" s="12">
        <v>6.9</v>
      </c>
      <c r="X54" s="12">
        <f t="shared" si="29"/>
        <v>4.9666666666666668</v>
      </c>
      <c r="AA54" s="27" t="s">
        <v>34</v>
      </c>
      <c r="AB54" s="25">
        <f>SUMIF(C:C,AA54,K:K)</f>
        <v>100.78307734570031</v>
      </c>
      <c r="AC54" s="25">
        <f>COUNTIF(C:C,AA54)</f>
        <v>2</v>
      </c>
      <c r="AD54" s="26">
        <f t="shared" si="22"/>
        <v>50.391538672850153</v>
      </c>
      <c r="AE54" s="25">
        <f>SUMIF(C:C,AA54,W:W)</f>
        <v>30.1</v>
      </c>
      <c r="AF54" s="26">
        <f t="shared" si="23"/>
        <v>15.05</v>
      </c>
      <c r="AG54" s="55">
        <f>SUMIF(C:C,AA54,H:H)</f>
        <v>71.819770000000005</v>
      </c>
      <c r="AH54"/>
      <c r="AI54"/>
      <c r="AJ54"/>
      <c r="AK54"/>
    </row>
    <row r="55" spans="2:38" s="24" customFormat="1" ht="24" customHeight="1" x14ac:dyDescent="0.25">
      <c r="B55" s="45">
        <v>43189</v>
      </c>
      <c r="C55" s="18" t="s">
        <v>30</v>
      </c>
      <c r="D55" s="10">
        <v>400.1</v>
      </c>
      <c r="E55" s="34">
        <f t="shared" si="24"/>
        <v>36706.799999999996</v>
      </c>
      <c r="F55" s="70">
        <v>34.85</v>
      </c>
      <c r="G55" s="8">
        <v>1.147</v>
      </c>
      <c r="H55" s="9">
        <f t="shared" si="25"/>
        <v>39.972950000000004</v>
      </c>
      <c r="I55" s="10">
        <v>56</v>
      </c>
      <c r="J55" s="41">
        <f>SUM(I$3:$I55)/COUNT(I$3:$I55)</f>
        <v>55.715384615384615</v>
      </c>
      <c r="K55" s="44">
        <f t="shared" si="26"/>
        <v>52.192004625193682</v>
      </c>
      <c r="L55" s="78">
        <f>IFERROR(K55/$AC$4,"-")</f>
        <v>0.75750369557610564</v>
      </c>
      <c r="M55" s="12">
        <f t="shared" si="27"/>
        <v>49.581588880331417</v>
      </c>
      <c r="N55" s="12">
        <f>SUM(K$4:$K55)/COUNT(K$4:$K55)</f>
        <v>51.617308504837816</v>
      </c>
      <c r="O55" s="11">
        <f t="shared" si="17"/>
        <v>3.8079953748063176</v>
      </c>
      <c r="P55" s="31">
        <f t="shared" si="18"/>
        <v>7.2961278305990848E-2</v>
      </c>
      <c r="Q55" s="12">
        <f>SUM($O$4:O55)/COUNT($O$4:O55)</f>
        <v>4.0980761105468106</v>
      </c>
      <c r="R55" s="32">
        <f>SUM(P$4:$P55)/COUNT(P$4:$P55)</f>
        <v>8.0321095723227154E-2</v>
      </c>
      <c r="S55" s="12">
        <f t="shared" si="28"/>
        <v>4.1044826744879694</v>
      </c>
      <c r="T55" s="13"/>
      <c r="U55" s="13"/>
      <c r="V55" s="12"/>
      <c r="W55" s="12">
        <v>7.5</v>
      </c>
      <c r="X55" s="12">
        <f t="shared" si="29"/>
        <v>6.0333333333333341</v>
      </c>
      <c r="AA55" s="27" t="s">
        <v>36</v>
      </c>
      <c r="AB55" s="25">
        <f>SUMIF(C:C,AA55,K:K)</f>
        <v>204.13745216652421</v>
      </c>
      <c r="AC55" s="25">
        <f>COUNTIF(C:C,AA55)</f>
        <v>4</v>
      </c>
      <c r="AD55" s="26">
        <f t="shared" ref="AD55:AD58" si="30">AB55/AC55</f>
        <v>51.034363041631053</v>
      </c>
      <c r="AE55" s="25">
        <f>SUMIF(C:C,AA55,W:W)</f>
        <v>57.1</v>
      </c>
      <c r="AF55" s="26">
        <f t="shared" ref="AF55:AF58" si="31">AE55/AC55</f>
        <v>14.275</v>
      </c>
      <c r="AG55" s="55">
        <f>SUMIF(C:C,AA55,H:H)</f>
        <v>120.0675</v>
      </c>
    </row>
    <row r="56" spans="2:38" s="24" customFormat="1" ht="24" customHeight="1" x14ac:dyDescent="0.25">
      <c r="B56" s="45">
        <v>43204</v>
      </c>
      <c r="C56" s="18" t="s">
        <v>29</v>
      </c>
      <c r="D56" s="10">
        <v>399.2</v>
      </c>
      <c r="E56" s="34">
        <f t="shared" si="24"/>
        <v>37105.999999999993</v>
      </c>
      <c r="F56" s="70">
        <v>34.950000000000003</v>
      </c>
      <c r="G56" s="8">
        <v>1.169</v>
      </c>
      <c r="H56" s="9">
        <f t="shared" si="25"/>
        <v>40.856550000000006</v>
      </c>
      <c r="I56" s="10">
        <v>55.4</v>
      </c>
      <c r="J56" s="41">
        <f>SUM(I$3:$I56)/COUNT(I$3:$I56)</f>
        <v>55.70943396226415</v>
      </c>
      <c r="K56" s="44">
        <f t="shared" si="26"/>
        <v>51.925604534935616</v>
      </c>
      <c r="L56" s="78">
        <f>IFERROR(K56/$AC$4,"-")</f>
        <v>0.75363722111662712</v>
      </c>
      <c r="M56" s="12">
        <f t="shared" si="27"/>
        <v>51.135348008946323</v>
      </c>
      <c r="N56" s="12">
        <f>SUM(K$4:$K56)/COUNT(K$4:$K56)</f>
        <v>51.623125411066077</v>
      </c>
      <c r="O56" s="11">
        <f t="shared" si="17"/>
        <v>3.4743954650643829</v>
      </c>
      <c r="P56" s="31">
        <f t="shared" si="18"/>
        <v>6.691102580667703E-2</v>
      </c>
      <c r="Q56" s="12">
        <f>SUM($O$4:O56)/COUNT($O$4:O56)</f>
        <v>4.0863085511980852</v>
      </c>
      <c r="R56" s="32">
        <f>SUM(P$4:$P56)/COUNT(P$4:$P56)</f>
        <v>8.0068075536122441E-2</v>
      </c>
      <c r="S56" s="12">
        <f t="shared" si="28"/>
        <v>4.0960495432850816</v>
      </c>
      <c r="T56" s="13"/>
      <c r="U56" s="13"/>
      <c r="V56" s="12"/>
      <c r="W56" s="12">
        <v>8.5</v>
      </c>
      <c r="X56" s="12">
        <f t="shared" si="29"/>
        <v>7.6333333333333329</v>
      </c>
      <c r="AA56" s="27" t="s">
        <v>37</v>
      </c>
      <c r="AB56" s="25">
        <f>SUMIF(C:C,AA56,K:K)</f>
        <v>100.37050702183046</v>
      </c>
      <c r="AC56" s="25">
        <f>COUNTIF(C:C,AA56)</f>
        <v>2</v>
      </c>
      <c r="AD56" s="26">
        <f t="shared" si="30"/>
        <v>50.185253510915231</v>
      </c>
      <c r="AE56" s="25">
        <f>SUMIF(C:C,AA56,W:W)</f>
        <v>19.8</v>
      </c>
      <c r="AF56" s="26">
        <f t="shared" si="31"/>
        <v>9.9</v>
      </c>
      <c r="AG56" s="55">
        <f>SUMIF(C:C,AA56,H:H)</f>
        <v>81.001570000000001</v>
      </c>
    </row>
    <row r="57" spans="2:38" s="24" customFormat="1" ht="24" customHeight="1" x14ac:dyDescent="0.25">
      <c r="B57" s="45">
        <v>43218</v>
      </c>
      <c r="C57" s="18" t="s">
        <v>29</v>
      </c>
      <c r="D57" s="10">
        <v>334</v>
      </c>
      <c r="E57" s="34">
        <f t="shared" si="24"/>
        <v>37439.999999999993</v>
      </c>
      <c r="F57" s="70">
        <v>29.36</v>
      </c>
      <c r="G57" s="8">
        <v>1.1870000000000001</v>
      </c>
      <c r="H57" s="9">
        <f t="shared" si="25"/>
        <v>34.850320000000004</v>
      </c>
      <c r="I57" s="10">
        <v>55.8</v>
      </c>
      <c r="J57" s="41">
        <f>SUM(I$3:$I57)/COUNT(I$3:$I57)</f>
        <v>55.711111111111116</v>
      </c>
      <c r="K57" s="44">
        <f t="shared" si="26"/>
        <v>51.716440324250676</v>
      </c>
      <c r="L57" s="78">
        <f>IFERROR(K57/$AC$4,"-")</f>
        <v>0.75060145608491546</v>
      </c>
      <c r="M57" s="12">
        <f t="shared" si="27"/>
        <v>51.944683161459984</v>
      </c>
      <c r="N57" s="12">
        <f>SUM(K$4:$K57)/COUNT(K$4:$K57)</f>
        <v>51.624853465013935</v>
      </c>
      <c r="O57" s="11">
        <f t="shared" si="17"/>
        <v>4.0835596757493207</v>
      </c>
      <c r="P57" s="31">
        <f t="shared" si="18"/>
        <v>7.8960571341459354E-2</v>
      </c>
      <c r="Q57" s="12">
        <f>SUM($O$4:O57)/COUNT($O$4:O57)</f>
        <v>4.0862576460971827</v>
      </c>
      <c r="R57" s="32">
        <f>SUM(P$4:$P57)/COUNT(P$4:$P57)</f>
        <v>8.0047566199184225E-2</v>
      </c>
      <c r="S57" s="12">
        <f t="shared" si="28"/>
        <v>4.0902141026140262</v>
      </c>
      <c r="T57" s="13"/>
      <c r="U57" s="13"/>
      <c r="V57" s="12"/>
      <c r="W57" s="12">
        <v>12.8</v>
      </c>
      <c r="X57" s="12">
        <f t="shared" si="29"/>
        <v>9.6</v>
      </c>
      <c r="AA57" s="27" t="s">
        <v>38</v>
      </c>
      <c r="AB57" s="25">
        <f>SUMIF(C:C,AA57,K:K)</f>
        <v>145.80723499865502</v>
      </c>
      <c r="AC57" s="25">
        <f>COUNTIF(C:C,AA57)</f>
        <v>3</v>
      </c>
      <c r="AD57" s="26">
        <f t="shared" si="30"/>
        <v>48.602411666218337</v>
      </c>
      <c r="AE57" s="25">
        <f>SUMIF(C:C,AA57,W:W)</f>
        <v>18.600000000000001</v>
      </c>
      <c r="AF57" s="26">
        <f t="shared" si="31"/>
        <v>6.2</v>
      </c>
      <c r="AG57" s="55">
        <f>SUMIF(C:C,AA57,H:H)</f>
        <v>107.92327</v>
      </c>
    </row>
    <row r="58" spans="2:38" s="24" customFormat="1" ht="24" customHeight="1" x14ac:dyDescent="0.25">
      <c r="B58" s="45">
        <v>43232</v>
      </c>
      <c r="C58" s="18" t="s">
        <v>122</v>
      </c>
      <c r="D58" s="10">
        <v>386.4</v>
      </c>
      <c r="E58" s="34">
        <f t="shared" si="24"/>
        <v>37826.399999999994</v>
      </c>
      <c r="F58" s="70">
        <v>32.299999999999997</v>
      </c>
      <c r="G58" s="8">
        <v>1.1970000000000001</v>
      </c>
      <c r="H58" s="9">
        <f t="shared" si="25"/>
        <v>38.6631</v>
      </c>
      <c r="I58" s="10">
        <v>58.6</v>
      </c>
      <c r="J58" s="41">
        <f>SUM(I$3:$I58)/COUNT(I$3:$I58)</f>
        <v>55.763636363636365</v>
      </c>
      <c r="K58" s="44">
        <f t="shared" si="26"/>
        <v>54.38420750563467</v>
      </c>
      <c r="L58" s="78">
        <f>IFERROR(K58/$AC$4,"-")</f>
        <v>0.78932086365217224</v>
      </c>
      <c r="M58" s="12">
        <f t="shared" si="27"/>
        <v>52.675417454940316</v>
      </c>
      <c r="N58" s="12">
        <f>SUM(K$4:$K58)/COUNT(K$4:$K58)</f>
        <v>51.675023538479763</v>
      </c>
      <c r="O58" s="11">
        <f t="shared" si="17"/>
        <v>4.2157924943653313</v>
      </c>
      <c r="P58" s="31">
        <f t="shared" si="18"/>
        <v>7.7518689482209316E-2</v>
      </c>
      <c r="Q58" s="12">
        <f>SUM($O$4:O58)/COUNT($O$4:O58)</f>
        <v>4.088612825156603</v>
      </c>
      <c r="R58" s="32">
        <f>SUM(P$4:$P58)/COUNT(P$4:$P58)</f>
        <v>8.0001586622511958E-2</v>
      </c>
      <c r="S58" s="12">
        <f t="shared" si="28"/>
        <v>4.0870596741506233</v>
      </c>
      <c r="T58" s="13"/>
      <c r="U58" s="13"/>
      <c r="V58" s="12"/>
      <c r="W58" s="12">
        <v>12</v>
      </c>
      <c r="X58" s="12">
        <f t="shared" si="29"/>
        <v>11.1</v>
      </c>
      <c r="AA58" s="27" t="s">
        <v>39</v>
      </c>
      <c r="AB58" s="25">
        <f>SUMIF(C:C,AA58,K:K)</f>
        <v>94.851755120184578</v>
      </c>
      <c r="AC58" s="25">
        <f>COUNTIF(C:C,AA58)</f>
        <v>2</v>
      </c>
      <c r="AD58" s="26">
        <f t="shared" si="30"/>
        <v>47.425877560092289</v>
      </c>
      <c r="AE58" s="25">
        <f>SUMIF(C:C,AA58,W:W)</f>
        <v>10.92</v>
      </c>
      <c r="AF58" s="26">
        <f t="shared" si="31"/>
        <v>5.46</v>
      </c>
      <c r="AG58" s="55">
        <f>SUMIF(C:C,AA58,H:H)</f>
        <v>78.984099999999998</v>
      </c>
    </row>
    <row r="59" spans="2:38" s="24" customFormat="1" ht="24" customHeight="1" x14ac:dyDescent="0.25">
      <c r="B59" s="45">
        <v>43243</v>
      </c>
      <c r="C59" s="18" t="s">
        <v>122</v>
      </c>
      <c r="D59" s="10">
        <v>411.9</v>
      </c>
      <c r="E59" s="34">
        <f t="shared" si="24"/>
        <v>38238.299999999996</v>
      </c>
      <c r="F59" s="70">
        <v>33.590000000000003</v>
      </c>
      <c r="G59" s="8">
        <v>1.2270000000000001</v>
      </c>
      <c r="H59" s="9">
        <f t="shared" si="25"/>
        <v>41.21493000000001</v>
      </c>
      <c r="I59" s="10">
        <v>59.8</v>
      </c>
      <c r="J59" s="41">
        <f>SUM(I$3:$I59)/COUNT(I$3:$I59)</f>
        <v>55.835714285714289</v>
      </c>
      <c r="K59" s="44">
        <f t="shared" si="26"/>
        <v>55.746806947662982</v>
      </c>
      <c r="L59" s="78">
        <f>IFERROR(K59/$AC$4,"-")</f>
        <v>0.80909734321716953</v>
      </c>
      <c r="M59" s="12">
        <f t="shared" si="27"/>
        <v>53.94915159251611</v>
      </c>
      <c r="N59" s="12">
        <f>SUM(K$4:$K59)/COUNT(K$4:$K59)</f>
        <v>51.747733956500895</v>
      </c>
      <c r="O59" s="11">
        <f t="shared" si="17"/>
        <v>4.053193052337015</v>
      </c>
      <c r="P59" s="31">
        <f t="shared" si="18"/>
        <v>7.2707178657645657E-2</v>
      </c>
      <c r="Q59" s="12">
        <f>SUM($O$4:O59)/COUNT($O$4:O59)</f>
        <v>4.087980329213396</v>
      </c>
      <c r="R59" s="32">
        <f>SUM(P$4:$P59)/COUNT(P$4:$P59)</f>
        <v>7.9871329337425051E-2</v>
      </c>
      <c r="S59" s="12">
        <f t="shared" si="28"/>
        <v>4.0876169334890609</v>
      </c>
      <c r="T59" s="13"/>
      <c r="U59" s="13"/>
      <c r="V59" s="12"/>
      <c r="W59" s="12">
        <v>14.09</v>
      </c>
      <c r="X59" s="12">
        <f t="shared" si="29"/>
        <v>12.963333333333333</v>
      </c>
      <c r="AA59" s="27" t="s">
        <v>40</v>
      </c>
      <c r="AB59" s="25">
        <f>SUMIF(C:C,AA59,K:K)</f>
        <v>198.0047760162924</v>
      </c>
      <c r="AC59" s="25">
        <f>COUNTIF(C:C,AA59)</f>
        <v>4</v>
      </c>
      <c r="AD59" s="26">
        <f t="shared" si="22"/>
        <v>49.501194004073099</v>
      </c>
      <c r="AE59" s="25">
        <f>SUMIF(C:C,AA59,W:W)</f>
        <v>23.400000000000002</v>
      </c>
      <c r="AF59" s="26">
        <f t="shared" si="23"/>
        <v>5.8500000000000005</v>
      </c>
      <c r="AG59" s="55">
        <f>SUMIF(C:C,AA59,H:H)</f>
        <v>115.58581000000001</v>
      </c>
    </row>
    <row r="60" spans="2:38" s="24" customFormat="1" ht="24" customHeight="1" x14ac:dyDescent="0.25">
      <c r="B60" s="45">
        <v>43247</v>
      </c>
      <c r="C60" s="18" t="s">
        <v>122</v>
      </c>
      <c r="D60" s="10">
        <v>261.89999999999998</v>
      </c>
      <c r="E60" s="34">
        <f t="shared" si="24"/>
        <v>38500.199999999997</v>
      </c>
      <c r="F60" s="70">
        <v>20.61</v>
      </c>
      <c r="G60" s="8">
        <v>1.339</v>
      </c>
      <c r="H60" s="9">
        <f t="shared" si="25"/>
        <v>27.596789999999999</v>
      </c>
      <c r="I60" s="10">
        <v>61.6</v>
      </c>
      <c r="J60" s="41">
        <f>SUM(I$3:$I60)/COUNT(I$3:$I60)</f>
        <v>55.93684210526316</v>
      </c>
      <c r="K60" s="44">
        <f t="shared" si="26"/>
        <v>57.769115156331871</v>
      </c>
      <c r="L60" s="78">
        <f>IFERROR(K60/$AC$4,"-")</f>
        <v>0.83844869602803873</v>
      </c>
      <c r="M60" s="12">
        <f t="shared" si="27"/>
        <v>55.966709869876503</v>
      </c>
      <c r="N60" s="12">
        <f>SUM(K$4:$K60)/COUNT(K$4:$K60)</f>
        <v>51.853372223164591</v>
      </c>
      <c r="O60" s="11">
        <f t="shared" si="17"/>
        <v>3.8308848436681302</v>
      </c>
      <c r="P60" s="31">
        <f t="shared" si="18"/>
        <v>6.6313718555341947E-2</v>
      </c>
      <c r="Q60" s="12">
        <f>SUM($O$4:O60)/COUNT($O$4:O60)</f>
        <v>4.0834698820985667</v>
      </c>
      <c r="R60" s="32">
        <f>SUM(P$4:$P60)/COUNT(P$4:$P60)</f>
        <v>7.9633476516686744E-2</v>
      </c>
      <c r="S60" s="12">
        <f t="shared" si="28"/>
        <v>4.0866876788228552</v>
      </c>
      <c r="T60" s="13"/>
      <c r="U60" s="13"/>
      <c r="V60" s="12"/>
      <c r="W60" s="12">
        <v>19</v>
      </c>
      <c r="X60" s="12">
        <f t="shared" si="29"/>
        <v>15.030000000000001</v>
      </c>
      <c r="AA60" s="27" t="s">
        <v>30</v>
      </c>
      <c r="AB60" s="25">
        <f>SUMIF(C:C,AA60,K:K)</f>
        <v>148.74476664099424</v>
      </c>
      <c r="AC60" s="25">
        <f>COUNTIF(C:C,AA60)</f>
        <v>3</v>
      </c>
      <c r="AD60" s="26">
        <f t="shared" ref="AD60" si="32">AB60/AC60</f>
        <v>49.581588880331417</v>
      </c>
      <c r="AE60" s="25">
        <f>SUMIF(C:C,AA60,W:W)</f>
        <v>18.100000000000001</v>
      </c>
      <c r="AF60" s="26">
        <f t="shared" ref="AF60" si="33">AE60/AC60</f>
        <v>6.0333333333333341</v>
      </c>
      <c r="AG60" s="55">
        <f>SUMIF(C:C,AA60,H:H)</f>
        <v>109.61420000000001</v>
      </c>
    </row>
    <row r="61" spans="2:38" s="24" customFormat="1" ht="24" customHeight="1" x14ac:dyDescent="0.25">
      <c r="B61" s="45">
        <v>43248</v>
      </c>
      <c r="C61" s="18" t="s">
        <v>122</v>
      </c>
      <c r="D61" s="10">
        <v>278.89999999999998</v>
      </c>
      <c r="E61" s="34">
        <f t="shared" si="24"/>
        <v>38779.1</v>
      </c>
      <c r="F61" s="70">
        <v>21.55</v>
      </c>
      <c r="G61" s="8">
        <v>1.2370000000000001</v>
      </c>
      <c r="H61" s="9">
        <f t="shared" si="25"/>
        <v>26.657350000000005</v>
      </c>
      <c r="I61" s="10">
        <v>61.6</v>
      </c>
      <c r="J61" s="41">
        <f>SUM(I$3:$I61)/COUNT(I$3:$I61)</f>
        <v>56.03448275862069</v>
      </c>
      <c r="K61" s="44">
        <f t="shared" si="26"/>
        <v>58.835500015406026</v>
      </c>
      <c r="L61" s="78">
        <f>IFERROR(K61/$AC$4,"-")</f>
        <v>0.85392597990429642</v>
      </c>
      <c r="M61" s="12">
        <f t="shared" si="27"/>
        <v>57.450474039800291</v>
      </c>
      <c r="N61" s="12">
        <f>SUM(K$4:$K61)/COUNT(K$4:$K61)</f>
        <v>51.97375373682393</v>
      </c>
      <c r="O61" s="11">
        <f t="shared" si="17"/>
        <v>2.7644999845939751</v>
      </c>
      <c r="P61" s="31">
        <f t="shared" si="18"/>
        <v>4.6986937883932205E-2</v>
      </c>
      <c r="Q61" s="12">
        <f>SUM($O$4:O61)/COUNT($O$4:O61)</f>
        <v>4.0607290217967638</v>
      </c>
      <c r="R61" s="32">
        <f>SUM(P$4:$P61)/COUNT(P$4:$P61)</f>
        <v>7.9070605160949589E-2</v>
      </c>
      <c r="S61" s="12">
        <f t="shared" si="28"/>
        <v>4.0773930777029088</v>
      </c>
      <c r="T61" s="13"/>
      <c r="U61" s="13"/>
      <c r="V61" s="12"/>
      <c r="W61" s="12">
        <v>19.5</v>
      </c>
      <c r="X61" s="12">
        <f t="shared" si="29"/>
        <v>17.53</v>
      </c>
      <c r="AA61" s="27" t="s">
        <v>29</v>
      </c>
      <c r="AB61" s="25">
        <f>SUMIF(C:C,AA61,K:K)</f>
        <v>103.64204485918629</v>
      </c>
      <c r="AC61" s="25">
        <f>COUNTIF(C:C,AA61)</f>
        <v>2</v>
      </c>
      <c r="AD61" s="26">
        <f t="shared" ref="AD61" si="34">AB61/AC61</f>
        <v>51.821022429593143</v>
      </c>
      <c r="AE61" s="25">
        <f>SUMIF(C:C,AA61,W:W)</f>
        <v>21.3</v>
      </c>
      <c r="AF61" s="26">
        <f t="shared" ref="AF61" si="35">AE61/AC61</f>
        <v>10.65</v>
      </c>
      <c r="AG61" s="55">
        <f>SUMIF(C:C,AA61,H:H)</f>
        <v>75.706870000000009</v>
      </c>
    </row>
    <row r="62" spans="2:38" s="24" customFormat="1" ht="24" customHeight="1" x14ac:dyDescent="0.25">
      <c r="B62" s="45">
        <v>43273</v>
      </c>
      <c r="C62" s="18" t="s">
        <v>123</v>
      </c>
      <c r="D62" s="10">
        <v>304.7</v>
      </c>
      <c r="E62" s="34">
        <f t="shared" si="24"/>
        <v>39083.799999999996</v>
      </c>
      <c r="F62" s="70">
        <v>25.56</v>
      </c>
      <c r="G62" s="8">
        <v>1.1870000000000001</v>
      </c>
      <c r="H62" s="9">
        <f t="shared" si="25"/>
        <v>30.33972</v>
      </c>
      <c r="I62" s="10">
        <v>59.1</v>
      </c>
      <c r="J62" s="41">
        <f>SUM(I$3:$I62)/COUNT(I$3:$I62)</f>
        <v>56.086440677966102</v>
      </c>
      <c r="K62" s="44">
        <f t="shared" si="26"/>
        <v>54.193826128169015</v>
      </c>
      <c r="L62" s="78">
        <f>IFERROR(K62/$AC$4,"-")</f>
        <v>0.78655770868169828</v>
      </c>
      <c r="M62" s="12">
        <f t="shared" si="27"/>
        <v>56.932813766635633</v>
      </c>
      <c r="N62" s="12">
        <f>SUM(K$4:$K62)/COUNT(K$4:$K62)</f>
        <v>52.011382082439944</v>
      </c>
      <c r="O62" s="11">
        <f t="shared" si="17"/>
        <v>4.9061738718309869</v>
      </c>
      <c r="P62" s="31">
        <f t="shared" si="18"/>
        <v>9.053012533619291E-2</v>
      </c>
      <c r="Q62" s="12">
        <f>SUM($O$4:O62)/COUNT($O$4:O62)</f>
        <v>4.0750585955261576</v>
      </c>
      <c r="R62" s="32">
        <f>SUM(P$4:$P62)/COUNT(P$4:$P62)</f>
        <v>7.9264834316462196E-2</v>
      </c>
      <c r="S62" s="12">
        <f t="shared" si="28"/>
        <v>4.073085833140496</v>
      </c>
      <c r="T62" s="13"/>
      <c r="U62" s="13"/>
      <c r="V62" s="12"/>
      <c r="W62" s="12">
        <v>18.3</v>
      </c>
      <c r="X62" s="12">
        <f t="shared" si="29"/>
        <v>18.933333333333334</v>
      </c>
      <c r="AA62" s="27" t="s">
        <v>122</v>
      </c>
      <c r="AB62" s="25">
        <f>SUMIF(C:C,AA62,K:K)</f>
        <v>226.73562962503553</v>
      </c>
      <c r="AC62" s="25">
        <f>COUNTIF(C:C,AA62)</f>
        <v>4</v>
      </c>
      <c r="AD62" s="26">
        <f t="shared" ref="AD62" si="36">AB62/AC62</f>
        <v>56.683907406258882</v>
      </c>
      <c r="AE62" s="25">
        <f>SUMIF(C:C,AA62,W:W)</f>
        <v>64.59</v>
      </c>
      <c r="AF62" s="26">
        <f t="shared" ref="AF62" si="37">AE62/AC62</f>
        <v>16.147500000000001</v>
      </c>
      <c r="AG62" s="55">
        <f>SUMIF(C:C,AA62,H:H)</f>
        <v>134.13217</v>
      </c>
    </row>
    <row r="63" spans="2:38" s="24" customFormat="1" ht="24" customHeight="1" x14ac:dyDescent="0.25">
      <c r="B63" s="45">
        <v>43282</v>
      </c>
      <c r="C63" s="18" t="s">
        <v>124</v>
      </c>
      <c r="D63" s="10">
        <v>285.10000000000002</v>
      </c>
      <c r="E63" s="34">
        <f t="shared" ref="E63:E74" si="38">E62+D63</f>
        <v>39368.899999999994</v>
      </c>
      <c r="F63" s="70">
        <v>23.05</v>
      </c>
      <c r="G63" s="8">
        <v>1.1870000000000001</v>
      </c>
      <c r="H63" s="9">
        <f t="shared" ref="H63:H74" si="39">G63*F63</f>
        <v>27.36035</v>
      </c>
      <c r="I63" s="10">
        <v>60.5</v>
      </c>
      <c r="J63" s="41">
        <f>SUM(I$3:$I63)/COUNT(I$3:$I63)</f>
        <v>56.16</v>
      </c>
      <c r="K63" s="44">
        <f t="shared" ref="K63:K74" si="40">IFERROR(D63/(F63/4.54609188),"-")</f>
        <v>56.229535574316706</v>
      </c>
      <c r="L63" s="78">
        <f>IFERROR(K63/$AC$4,"-")</f>
        <v>0.81610356421359509</v>
      </c>
      <c r="M63" s="12">
        <f t="shared" ref="M63:M74" si="41">SUM(K61:K63)/3</f>
        <v>56.419620572630585</v>
      </c>
      <c r="N63" s="12">
        <f>SUM(K$4:$K63)/COUNT(K$4:$K63)</f>
        <v>52.081684640637896</v>
      </c>
      <c r="O63" s="11">
        <f t="shared" ref="O63:O74" si="42">IFERROR(I63-K63,"-")</f>
        <v>4.2704644256832935</v>
      </c>
      <c r="P63" s="31">
        <f t="shared" ref="P63:P74" si="43">IFERROR((I63-K63)/K63,"-")</f>
        <v>7.5946997997861157E-2</v>
      </c>
      <c r="Q63" s="12">
        <f>SUM($O$4:O63)/COUNT($O$4:O63)</f>
        <v>4.0783153593621098</v>
      </c>
      <c r="R63" s="32">
        <f>SUM(P$4:$P63)/COUNT(P$4:$P63)</f>
        <v>7.9209537044485509E-2</v>
      </c>
      <c r="S63" s="12">
        <f t="shared" ref="S63:S74" si="44">SUM(Q61:Q63)/3</f>
        <v>4.071367658895011</v>
      </c>
      <c r="T63" s="13"/>
      <c r="U63" s="13"/>
      <c r="V63" s="12"/>
      <c r="W63" s="12">
        <v>20.399999999999999</v>
      </c>
      <c r="X63" s="12">
        <f t="shared" ref="X63:X74" si="45">SUM(W61:W63)/3</f>
        <v>19.399999999999999</v>
      </c>
      <c r="AA63" s="27" t="s">
        <v>123</v>
      </c>
      <c r="AB63" s="25">
        <f>SUMIF(C:C,AA63,K:K)</f>
        <v>54.193826128169015</v>
      </c>
      <c r="AC63" s="25">
        <f>COUNTIF(C:C,AA63)</f>
        <v>1</v>
      </c>
      <c r="AD63" s="26">
        <f t="shared" ref="AD63:AD66" si="46">AB63/AC63</f>
        <v>54.193826128169015</v>
      </c>
      <c r="AE63" s="25">
        <f>SUMIF(C:C,AA63,W:W)</f>
        <v>18.3</v>
      </c>
      <c r="AF63" s="26">
        <f t="shared" ref="AF63:AF66" si="47">AE63/AC63</f>
        <v>18.3</v>
      </c>
      <c r="AG63" s="55">
        <f>SUMIF(C:C,AA63,H:H)</f>
        <v>30.33972</v>
      </c>
    </row>
    <row r="64" spans="2:38" s="24" customFormat="1" ht="24" customHeight="1" x14ac:dyDescent="0.25">
      <c r="B64" s="45">
        <v>43290</v>
      </c>
      <c r="C64" s="18" t="s">
        <v>124</v>
      </c>
      <c r="D64" s="10">
        <v>394.5</v>
      </c>
      <c r="E64" s="34">
        <f t="shared" si="38"/>
        <v>39763.399999999994</v>
      </c>
      <c r="F64" s="70">
        <v>31.45</v>
      </c>
      <c r="G64" s="8">
        <v>1.1870000000000001</v>
      </c>
      <c r="H64" s="9">
        <f t="shared" si="39"/>
        <v>37.331150000000001</v>
      </c>
      <c r="I64" s="10">
        <v>60.2</v>
      </c>
      <c r="J64" s="41">
        <f>SUM(I$3:$I64)/COUNT(I$3:$I64)</f>
        <v>56.226229508196717</v>
      </c>
      <c r="K64" s="44">
        <f t="shared" si="40"/>
        <v>57.024904504292529</v>
      </c>
      <c r="L64" s="78">
        <f>IFERROR(K64/$AC$4,"-")</f>
        <v>0.82764738032354901</v>
      </c>
      <c r="M64" s="12">
        <f t="shared" si="41"/>
        <v>55.81608873559275</v>
      </c>
      <c r="N64" s="12">
        <f>SUM(K$4:$K64)/COUNT(K$4:$K64)</f>
        <v>52.162721031845344</v>
      </c>
      <c r="O64" s="11">
        <f t="shared" si="42"/>
        <v>3.175095495707474</v>
      </c>
      <c r="P64" s="31">
        <f t="shared" si="43"/>
        <v>5.5679102373042459E-2</v>
      </c>
      <c r="Q64" s="12">
        <f>SUM($O$4:O64)/COUNT($O$4:O64)</f>
        <v>4.0635084763513776</v>
      </c>
      <c r="R64" s="32">
        <f>SUM(P$4:$P64)/COUNT(P$4:$P64)</f>
        <v>7.8823792213806115E-2</v>
      </c>
      <c r="S64" s="12">
        <f t="shared" si="44"/>
        <v>4.0722941437465474</v>
      </c>
      <c r="T64" s="13"/>
      <c r="U64" s="13"/>
      <c r="V64" s="12"/>
      <c r="W64" s="12">
        <v>21.3</v>
      </c>
      <c r="X64" s="12">
        <f t="shared" si="45"/>
        <v>20</v>
      </c>
      <c r="AA64" s="27" t="s">
        <v>124</v>
      </c>
      <c r="AB64" s="25">
        <f>SUMIF(C:C,AA64,K:K)</f>
        <v>167.98784090013896</v>
      </c>
      <c r="AC64" s="25">
        <f>COUNTIF(C:C,AA64)</f>
        <v>3</v>
      </c>
      <c r="AD64" s="26">
        <f t="shared" si="46"/>
        <v>55.995946966712985</v>
      </c>
      <c r="AE64" s="25">
        <f>SUMIF(C:C,AA64,W:W)</f>
        <v>60.400000000000006</v>
      </c>
      <c r="AF64" s="26">
        <f t="shared" si="47"/>
        <v>20.133333333333336</v>
      </c>
      <c r="AG64" s="55">
        <f>SUMIF(C:C,AA64,H:H)</f>
        <v>94.763570000000016</v>
      </c>
    </row>
    <row r="65" spans="2:38" ht="24" customHeight="1" x14ac:dyDescent="0.25">
      <c r="B65" s="45">
        <v>43302</v>
      </c>
      <c r="C65" s="18" t="s">
        <v>124</v>
      </c>
      <c r="D65" s="10">
        <v>297.5</v>
      </c>
      <c r="E65" s="34">
        <f t="shared" si="38"/>
        <v>40060.899999999994</v>
      </c>
      <c r="F65" s="70">
        <v>24.71</v>
      </c>
      <c r="G65" s="8">
        <v>1.2170000000000001</v>
      </c>
      <c r="H65" s="9">
        <f t="shared" si="39"/>
        <v>30.072070000000004</v>
      </c>
      <c r="I65" s="10">
        <v>59.3</v>
      </c>
      <c r="J65" s="41">
        <f>SUM(I$3:$I65)/COUNT(I$3:$I65)</f>
        <v>56.275806451612901</v>
      </c>
      <c r="K65" s="44">
        <f t="shared" si="40"/>
        <v>54.733400821529735</v>
      </c>
      <c r="L65" s="78">
        <f>IFERROR(K65/$AC$4,"-")</f>
        <v>0.79438898144455339</v>
      </c>
      <c r="M65" s="12">
        <f t="shared" si="41"/>
        <v>55.995946966712985</v>
      </c>
      <c r="N65" s="12">
        <f>SUM(K$4:$K65)/COUNT(K$4:$K65)</f>
        <v>52.204183609098315</v>
      </c>
      <c r="O65" s="11">
        <f t="shared" si="42"/>
        <v>4.5665991784702626</v>
      </c>
      <c r="P65" s="31">
        <f t="shared" si="43"/>
        <v>8.3433499653359042E-2</v>
      </c>
      <c r="Q65" s="12">
        <f>SUM($O$4:O65)/COUNT($O$4:O65)</f>
        <v>4.0716228425145848</v>
      </c>
      <c r="R65" s="32">
        <f>SUM(P$4:$P65)/COUNT(P$4:$P65)</f>
        <v>7.889814233379891E-2</v>
      </c>
      <c r="S65" s="12">
        <f t="shared" si="44"/>
        <v>4.0711488927426913</v>
      </c>
      <c r="T65" s="13"/>
      <c r="U65" s="13"/>
      <c r="V65" s="12"/>
      <c r="W65" s="12">
        <v>18.7</v>
      </c>
      <c r="X65" s="12">
        <f t="shared" si="45"/>
        <v>20.133333333333336</v>
      </c>
      <c r="AA65" s="27" t="s">
        <v>125</v>
      </c>
      <c r="AB65" s="25">
        <f>SUMIF(C:C,AA65,K:K)</f>
        <v>0</v>
      </c>
      <c r="AC65" s="25">
        <f>COUNTIF(C:C,AA65)</f>
        <v>0</v>
      </c>
      <c r="AD65" s="26" t="e">
        <f t="shared" si="46"/>
        <v>#DIV/0!</v>
      </c>
      <c r="AE65" s="25">
        <f>SUMIF(C:C,AA65,W:W)</f>
        <v>0</v>
      </c>
      <c r="AF65" s="26" t="e">
        <f t="shared" si="47"/>
        <v>#DIV/0!</v>
      </c>
      <c r="AG65" s="55">
        <f>SUMIF(C:C,AA65,H:H)</f>
        <v>0</v>
      </c>
      <c r="AH65" s="24"/>
      <c r="AI65" s="24"/>
      <c r="AJ65" s="24"/>
      <c r="AK65" s="24"/>
      <c r="AL65" s="24"/>
    </row>
    <row r="66" spans="2:38" ht="24" customHeight="1" x14ac:dyDescent="0.25">
      <c r="B66" s="46">
        <v>43285</v>
      </c>
      <c r="C66" s="18"/>
      <c r="D66" s="10"/>
      <c r="E66" s="34">
        <f t="shared" si="38"/>
        <v>40060.899999999994</v>
      </c>
      <c r="F66" s="70"/>
      <c r="G66" s="8"/>
      <c r="H66" s="9">
        <f t="shared" si="39"/>
        <v>0</v>
      </c>
      <c r="I66" s="10"/>
      <c r="J66" s="41">
        <f>SUM(I$3:$I66)/COUNT(I$3:$I66)</f>
        <v>56.275806451612901</v>
      </c>
      <c r="K66" s="44" t="str">
        <f t="shared" si="40"/>
        <v>-</v>
      </c>
      <c r="L66" s="78" t="str">
        <f>IFERROR(K66/$AC$4,"-")</f>
        <v>-</v>
      </c>
      <c r="M66" s="12">
        <f t="shared" si="41"/>
        <v>37.252768441940752</v>
      </c>
      <c r="N66" s="12">
        <f>SUM(K$4:$K66)/COUNT(K$4:$K66)</f>
        <v>52.204183609098315</v>
      </c>
      <c r="O66" s="11" t="str">
        <f t="shared" si="42"/>
        <v>-</v>
      </c>
      <c r="P66" s="31" t="str">
        <f t="shared" si="43"/>
        <v>-</v>
      </c>
      <c r="Q66" s="12">
        <f>SUM($O$4:O66)/COUNT($O$4:O66)</f>
        <v>4.0716228425145848</v>
      </c>
      <c r="R66" s="32">
        <f>SUM(P$4:$P66)/COUNT(P$4:$P66)</f>
        <v>7.889814233379891E-2</v>
      </c>
      <c r="S66" s="12">
        <f t="shared" si="44"/>
        <v>4.0689180537935163</v>
      </c>
      <c r="T66" s="13"/>
      <c r="U66" s="13"/>
      <c r="V66" s="12"/>
      <c r="W66" s="12"/>
      <c r="X66" s="12">
        <f t="shared" si="45"/>
        <v>13.333333333333334</v>
      </c>
      <c r="AA66" s="27" t="s">
        <v>126</v>
      </c>
      <c r="AB66" s="25">
        <f>SUMIF(C:C,AA66,K:K)</f>
        <v>0</v>
      </c>
      <c r="AC66" s="25">
        <f>COUNTIF(C:C,AA66)</f>
        <v>0</v>
      </c>
      <c r="AD66" s="26" t="e">
        <f t="shared" si="46"/>
        <v>#DIV/0!</v>
      </c>
      <c r="AE66" s="25">
        <f>SUMIF(C:C,AA66,W:W)</f>
        <v>0</v>
      </c>
      <c r="AF66" s="26" t="e">
        <f t="shared" si="47"/>
        <v>#DIV/0!</v>
      </c>
      <c r="AG66" s="55">
        <f>SUMIF(C:C,AA66,H:H)</f>
        <v>0</v>
      </c>
      <c r="AH66" s="24"/>
      <c r="AI66" s="24"/>
      <c r="AJ66" s="24"/>
      <c r="AK66" s="24"/>
    </row>
    <row r="67" spans="2:38" ht="24" customHeight="1" x14ac:dyDescent="0.25">
      <c r="B67" s="46">
        <v>43286</v>
      </c>
      <c r="C67" s="18"/>
      <c r="D67" s="10"/>
      <c r="E67" s="34">
        <f t="shared" si="38"/>
        <v>40060.899999999994</v>
      </c>
      <c r="F67" s="70"/>
      <c r="G67" s="8"/>
      <c r="H67" s="9">
        <f t="shared" si="39"/>
        <v>0</v>
      </c>
      <c r="I67" s="10"/>
      <c r="J67" s="41">
        <f>SUM(I$3:$I67)/COUNT(I$3:$I67)</f>
        <v>56.275806451612901</v>
      </c>
      <c r="K67" s="44" t="str">
        <f t="shared" si="40"/>
        <v>-</v>
      </c>
      <c r="L67" s="78" t="str">
        <f>IFERROR(K67/$AC$4,"-")</f>
        <v>-</v>
      </c>
      <c r="M67" s="12">
        <f t="shared" si="41"/>
        <v>18.244466940509913</v>
      </c>
      <c r="N67" s="12">
        <f>SUM(K$4:$K67)/COUNT(K$4:$K67)</f>
        <v>52.204183609098315</v>
      </c>
      <c r="O67" s="11" t="str">
        <f t="shared" si="42"/>
        <v>-</v>
      </c>
      <c r="P67" s="31" t="str">
        <f t="shared" si="43"/>
        <v>-</v>
      </c>
      <c r="Q67" s="12">
        <f>SUM($O$4:O67)/COUNT($O$4:O67)</f>
        <v>4.0716228425145848</v>
      </c>
      <c r="R67" s="32">
        <f>SUM(P$4:$P67)/COUNT(P$4:$P67)</f>
        <v>7.889814233379891E-2</v>
      </c>
      <c r="S67" s="12">
        <f t="shared" si="44"/>
        <v>4.0716228425145848</v>
      </c>
      <c r="T67" s="13"/>
      <c r="U67" s="13"/>
      <c r="V67" s="12"/>
      <c r="W67" s="12"/>
      <c r="X67" s="12">
        <f t="shared" si="45"/>
        <v>6.2333333333333334</v>
      </c>
    </row>
    <row r="68" spans="2:38" ht="24" customHeight="1" x14ac:dyDescent="0.25">
      <c r="B68" s="46">
        <v>43287</v>
      </c>
      <c r="C68" s="18"/>
      <c r="D68" s="10"/>
      <c r="E68" s="34">
        <f t="shared" si="38"/>
        <v>40060.899999999994</v>
      </c>
      <c r="F68" s="70"/>
      <c r="G68" s="8"/>
      <c r="H68" s="9">
        <f t="shared" si="39"/>
        <v>0</v>
      </c>
      <c r="I68" s="10"/>
      <c r="J68" s="41">
        <f>SUM(I$3:$I68)/COUNT(I$3:$I68)</f>
        <v>56.275806451612901</v>
      </c>
      <c r="K68" s="44" t="str">
        <f t="shared" si="40"/>
        <v>-</v>
      </c>
      <c r="L68" s="78" t="str">
        <f>IFERROR(K68/$AC$4,"-")</f>
        <v>-</v>
      </c>
      <c r="M68" s="12">
        <f t="shared" si="41"/>
        <v>0</v>
      </c>
      <c r="N68" s="12">
        <f>SUM(K$4:$K68)/COUNT(K$4:$K68)</f>
        <v>52.204183609098315</v>
      </c>
      <c r="O68" s="11" t="str">
        <f t="shared" si="42"/>
        <v>-</v>
      </c>
      <c r="P68" s="31" t="str">
        <f t="shared" si="43"/>
        <v>-</v>
      </c>
      <c r="Q68" s="12">
        <f>SUM($O$4:O68)/COUNT($O$4:O68)</f>
        <v>4.0716228425145848</v>
      </c>
      <c r="R68" s="32">
        <f>SUM(P$4:$P68)/COUNT(P$4:$P68)</f>
        <v>7.889814233379891E-2</v>
      </c>
      <c r="S68" s="12">
        <f t="shared" si="44"/>
        <v>4.0716228425145848</v>
      </c>
      <c r="T68" s="13"/>
      <c r="U68" s="13"/>
      <c r="V68" s="12"/>
      <c r="W68" s="12"/>
      <c r="X68" s="12">
        <f t="shared" si="45"/>
        <v>0</v>
      </c>
      <c r="AA68" s="54" t="s">
        <v>16</v>
      </c>
      <c r="AB68" s="25" t="s">
        <v>77</v>
      </c>
    </row>
    <row r="69" spans="2:38" x14ac:dyDescent="0.25">
      <c r="B69" s="46">
        <v>43288</v>
      </c>
      <c r="C69" s="18"/>
      <c r="D69" s="10"/>
      <c r="E69" s="34">
        <f t="shared" si="38"/>
        <v>40060.899999999994</v>
      </c>
      <c r="F69" s="70"/>
      <c r="G69" s="8"/>
      <c r="H69" s="9">
        <f t="shared" si="39"/>
        <v>0</v>
      </c>
      <c r="I69" s="10"/>
      <c r="J69" s="41">
        <f>SUM(I$3:$I69)/COUNT(I$3:$I69)</f>
        <v>56.275806451612901</v>
      </c>
      <c r="K69" s="44" t="str">
        <f t="shared" si="40"/>
        <v>-</v>
      </c>
      <c r="L69" s="78" t="str">
        <f>IFERROR(K69/$AC$4,"-")</f>
        <v>-</v>
      </c>
      <c r="M69" s="12">
        <f t="shared" si="41"/>
        <v>0</v>
      </c>
      <c r="N69" s="12">
        <f>SUM(K$4:$K69)/COUNT(K$4:$K69)</f>
        <v>52.204183609098315</v>
      </c>
      <c r="O69" s="11" t="str">
        <f t="shared" si="42"/>
        <v>-</v>
      </c>
      <c r="P69" s="31" t="str">
        <f t="shared" si="43"/>
        <v>-</v>
      </c>
      <c r="Q69" s="12">
        <f>SUM($O$4:O69)/COUNT($O$4:O69)</f>
        <v>4.0716228425145848</v>
      </c>
      <c r="R69" s="32">
        <f>SUM(P$4:$P69)/COUNT(P$4:$P69)</f>
        <v>7.889814233379891E-2</v>
      </c>
      <c r="S69" s="12">
        <f t="shared" si="44"/>
        <v>4.0716228425145848</v>
      </c>
      <c r="T69" s="13"/>
      <c r="U69" s="13"/>
      <c r="V69" s="12"/>
      <c r="W69" s="12"/>
      <c r="X69" s="12">
        <f t="shared" si="45"/>
        <v>0</v>
      </c>
      <c r="AA69" s="27" t="s">
        <v>19</v>
      </c>
      <c r="AB69" s="55">
        <f>SUMIF(C:C,AA69,H:H)</f>
        <v>71.789999999999992</v>
      </c>
    </row>
    <row r="70" spans="2:38" x14ac:dyDescent="0.25">
      <c r="B70" s="46">
        <v>43289</v>
      </c>
      <c r="C70" s="18"/>
      <c r="D70" s="10"/>
      <c r="E70" s="34">
        <f t="shared" si="38"/>
        <v>40060.899999999994</v>
      </c>
      <c r="F70" s="70"/>
      <c r="G70" s="8"/>
      <c r="H70" s="9">
        <f t="shared" si="39"/>
        <v>0</v>
      </c>
      <c r="I70" s="10"/>
      <c r="J70" s="41">
        <f>SUM(I$3:$I70)/COUNT(I$3:$I70)</f>
        <v>56.275806451612901</v>
      </c>
      <c r="K70" s="44" t="str">
        <f t="shared" si="40"/>
        <v>-</v>
      </c>
      <c r="L70" s="78" t="str">
        <f>IFERROR(K70/$AC$4,"-")</f>
        <v>-</v>
      </c>
      <c r="M70" s="12">
        <f t="shared" si="41"/>
        <v>0</v>
      </c>
      <c r="N70" s="12">
        <f>SUM(K$4:$K70)/COUNT(K$4:$K70)</f>
        <v>52.204183609098315</v>
      </c>
      <c r="O70" s="11" t="str">
        <f t="shared" si="42"/>
        <v>-</v>
      </c>
      <c r="P70" s="31" t="str">
        <f t="shared" si="43"/>
        <v>-</v>
      </c>
      <c r="Q70" s="12">
        <f>SUM($O$4:O70)/COUNT($O$4:O70)</f>
        <v>4.0716228425145848</v>
      </c>
      <c r="R70" s="32">
        <f>SUM(P$4:$P70)/COUNT(P$4:$P70)</f>
        <v>7.889814233379891E-2</v>
      </c>
      <c r="S70" s="12">
        <f t="shared" si="44"/>
        <v>4.0716228425145848</v>
      </c>
      <c r="T70" s="13"/>
      <c r="U70" s="13"/>
      <c r="V70" s="12"/>
      <c r="W70" s="12"/>
      <c r="X70" s="12">
        <f t="shared" si="45"/>
        <v>0</v>
      </c>
      <c r="AA70" s="27" t="s">
        <v>20</v>
      </c>
      <c r="AB70" s="55">
        <f>SUMIF(C:C,AA70,H:H)</f>
        <v>63.61</v>
      </c>
    </row>
    <row r="71" spans="2:38" x14ac:dyDescent="0.25">
      <c r="B71" s="46">
        <v>43290</v>
      </c>
      <c r="C71" s="18"/>
      <c r="D71" s="10"/>
      <c r="E71" s="34">
        <f t="shared" si="38"/>
        <v>40060.899999999994</v>
      </c>
      <c r="F71" s="70"/>
      <c r="G71" s="8"/>
      <c r="H71" s="9">
        <f t="shared" si="39"/>
        <v>0</v>
      </c>
      <c r="I71" s="10"/>
      <c r="J71" s="41">
        <f>SUM(I$3:$I71)/COUNT(I$3:$I71)</f>
        <v>56.275806451612901</v>
      </c>
      <c r="K71" s="44" t="str">
        <f t="shared" si="40"/>
        <v>-</v>
      </c>
      <c r="L71" s="78" t="str">
        <f>IFERROR(K71/$AC$4,"-")</f>
        <v>-</v>
      </c>
      <c r="M71" s="12">
        <f t="shared" si="41"/>
        <v>0</v>
      </c>
      <c r="N71" s="12">
        <f>SUM(K$4:$K71)/COUNT(K$4:$K71)</f>
        <v>52.204183609098315</v>
      </c>
      <c r="O71" s="11" t="str">
        <f t="shared" si="42"/>
        <v>-</v>
      </c>
      <c r="P71" s="31" t="str">
        <f t="shared" si="43"/>
        <v>-</v>
      </c>
      <c r="Q71" s="12">
        <f>SUM($O$4:O71)/COUNT($O$4:O71)</f>
        <v>4.0716228425145848</v>
      </c>
      <c r="R71" s="32">
        <f>SUM(P$4:$P71)/COUNT(P$4:$P71)</f>
        <v>7.889814233379891E-2</v>
      </c>
      <c r="S71" s="12">
        <f t="shared" si="44"/>
        <v>4.0716228425145848</v>
      </c>
      <c r="T71" s="13"/>
      <c r="U71" s="13"/>
      <c r="V71" s="12"/>
      <c r="W71" s="12"/>
      <c r="X71" s="12">
        <f t="shared" si="45"/>
        <v>0</v>
      </c>
      <c r="AA71" s="27" t="s">
        <v>21</v>
      </c>
      <c r="AB71" s="55">
        <f>SUMIF(C:C,AA71,H:H)</f>
        <v>70.460000000000008</v>
      </c>
    </row>
    <row r="72" spans="2:38" x14ac:dyDescent="0.25">
      <c r="B72" s="46">
        <v>43291</v>
      </c>
      <c r="C72" s="18"/>
      <c r="D72" s="10"/>
      <c r="E72" s="34">
        <f t="shared" si="38"/>
        <v>40060.899999999994</v>
      </c>
      <c r="F72" s="70"/>
      <c r="G72" s="8"/>
      <c r="H72" s="9">
        <f t="shared" si="39"/>
        <v>0</v>
      </c>
      <c r="I72" s="10"/>
      <c r="J72" s="41">
        <f>SUM(I$3:$I72)/COUNT(I$3:$I72)</f>
        <v>56.275806451612901</v>
      </c>
      <c r="K72" s="44" t="str">
        <f t="shared" si="40"/>
        <v>-</v>
      </c>
      <c r="L72" s="78" t="str">
        <f>IFERROR(K72/$AC$4,"-")</f>
        <v>-</v>
      </c>
      <c r="M72" s="12">
        <f t="shared" si="41"/>
        <v>0</v>
      </c>
      <c r="N72" s="12">
        <f>SUM(K$4:$K72)/COUNT(K$4:$K72)</f>
        <v>52.204183609098315</v>
      </c>
      <c r="O72" s="11" t="str">
        <f t="shared" si="42"/>
        <v>-</v>
      </c>
      <c r="P72" s="31" t="str">
        <f t="shared" si="43"/>
        <v>-</v>
      </c>
      <c r="Q72" s="12">
        <f>SUM($O$4:O72)/COUNT($O$4:O72)</f>
        <v>4.0716228425145848</v>
      </c>
      <c r="R72" s="32">
        <f>SUM(P$4:$P72)/COUNT(P$4:$P72)</f>
        <v>7.889814233379891E-2</v>
      </c>
      <c r="S72" s="12">
        <f t="shared" si="44"/>
        <v>4.0716228425145848</v>
      </c>
      <c r="T72" s="13"/>
      <c r="U72" s="13"/>
      <c r="V72" s="12"/>
      <c r="W72" s="12"/>
      <c r="X72" s="12">
        <f t="shared" si="45"/>
        <v>0</v>
      </c>
      <c r="AA72" s="27" t="s">
        <v>22</v>
      </c>
      <c r="AB72" s="55">
        <f>SUMIF(C:C,AA72,H:H)</f>
        <v>114.20865000000001</v>
      </c>
    </row>
    <row r="73" spans="2:38" x14ac:dyDescent="0.25">
      <c r="B73" s="46">
        <v>43292</v>
      </c>
      <c r="C73" s="18"/>
      <c r="D73" s="10"/>
      <c r="E73" s="34">
        <f t="shared" si="38"/>
        <v>40060.899999999994</v>
      </c>
      <c r="F73" s="70"/>
      <c r="G73" s="8"/>
      <c r="H73" s="9">
        <f t="shared" si="39"/>
        <v>0</v>
      </c>
      <c r="I73" s="10"/>
      <c r="J73" s="41">
        <f>SUM(I$3:$I73)/COUNT(I$3:$I73)</f>
        <v>56.275806451612901</v>
      </c>
      <c r="K73" s="44" t="str">
        <f t="shared" si="40"/>
        <v>-</v>
      </c>
      <c r="L73" s="78" t="str">
        <f>IFERROR(K73/$AC$4,"-")</f>
        <v>-</v>
      </c>
      <c r="M73" s="12">
        <f t="shared" si="41"/>
        <v>0</v>
      </c>
      <c r="N73" s="12">
        <f>SUM(K$4:$K73)/COUNT(K$4:$K73)</f>
        <v>52.204183609098315</v>
      </c>
      <c r="O73" s="11" t="str">
        <f t="shared" si="42"/>
        <v>-</v>
      </c>
      <c r="P73" s="31" t="str">
        <f t="shared" si="43"/>
        <v>-</v>
      </c>
      <c r="Q73" s="12">
        <f>SUM($O$4:O73)/COUNT($O$4:O73)</f>
        <v>4.0716228425145848</v>
      </c>
      <c r="R73" s="32">
        <f>SUM(P$4:$P73)/COUNT(P$4:$P73)</f>
        <v>7.889814233379891E-2</v>
      </c>
      <c r="S73" s="12">
        <f t="shared" si="44"/>
        <v>4.0716228425145848</v>
      </c>
      <c r="T73" s="13"/>
      <c r="U73" s="13"/>
      <c r="V73" s="12"/>
      <c r="W73" s="12"/>
      <c r="X73" s="12">
        <f t="shared" si="45"/>
        <v>0</v>
      </c>
      <c r="AA73" s="27" t="s">
        <v>23</v>
      </c>
      <c r="AB73" s="55">
        <f>SUMIF(C:C,AA73,H:H)</f>
        <v>67.551410000000004</v>
      </c>
    </row>
    <row r="74" spans="2:38" x14ac:dyDescent="0.25">
      <c r="B74" s="46">
        <v>43293</v>
      </c>
      <c r="C74" s="18"/>
      <c r="D74" s="10"/>
      <c r="E74" s="34">
        <f t="shared" si="38"/>
        <v>40060.899999999994</v>
      </c>
      <c r="F74" s="70"/>
      <c r="G74" s="8"/>
      <c r="H74" s="9">
        <f t="shared" si="39"/>
        <v>0</v>
      </c>
      <c r="I74" s="10"/>
      <c r="J74" s="41">
        <f>SUM(I$3:$I74)/COUNT(I$3:$I74)</f>
        <v>56.275806451612901</v>
      </c>
      <c r="K74" s="44" t="str">
        <f t="shared" si="40"/>
        <v>-</v>
      </c>
      <c r="L74" s="78" t="str">
        <f>IFERROR(K74/$AC$4,"-")</f>
        <v>-</v>
      </c>
      <c r="M74" s="12">
        <f t="shared" si="41"/>
        <v>0</v>
      </c>
      <c r="N74" s="12">
        <f>SUM(K$4:$K74)/COUNT(K$4:$K74)</f>
        <v>52.204183609098315</v>
      </c>
      <c r="O74" s="11" t="str">
        <f t="shared" si="42"/>
        <v>-</v>
      </c>
      <c r="P74" s="31" t="str">
        <f t="shared" si="43"/>
        <v>-</v>
      </c>
      <c r="Q74" s="12">
        <f>SUM($O$4:O74)/COUNT($O$4:O74)</f>
        <v>4.0716228425145848</v>
      </c>
      <c r="R74" s="32">
        <f>SUM(P$4:$P74)/COUNT(P$4:$P74)</f>
        <v>7.889814233379891E-2</v>
      </c>
      <c r="S74" s="12">
        <f t="shared" si="44"/>
        <v>4.0716228425145848</v>
      </c>
      <c r="T74" s="13"/>
      <c r="U74" s="13"/>
      <c r="V74" s="12"/>
      <c r="W74" s="12"/>
      <c r="X74" s="12">
        <f t="shared" si="45"/>
        <v>0</v>
      </c>
      <c r="AA74" s="27" t="s">
        <v>24</v>
      </c>
      <c r="AB74" s="55">
        <f>SUMIF(C:C,AA74,H:H)</f>
        <v>103.99073999999999</v>
      </c>
    </row>
    <row r="75" spans="2:38" x14ac:dyDescent="0.25">
      <c r="B75" s="19" t="s">
        <v>62</v>
      </c>
      <c r="C75" s="35"/>
      <c r="D75" s="36">
        <f>SUM(D3:D74)</f>
        <v>20456.900000000001</v>
      </c>
      <c r="E75" s="37">
        <f>E74</f>
        <v>40060.899999999994</v>
      </c>
      <c r="F75" s="37">
        <f>SUM(F3:F74)</f>
        <v>1827.1899999999991</v>
      </c>
      <c r="G75" s="38"/>
      <c r="H75" s="47">
        <f>SUM(H3:H74)</f>
        <v>2096.563200000001</v>
      </c>
      <c r="I75" s="33"/>
      <c r="J75" s="12">
        <f>SUM(I$3:$I75)/COUNT(I$3:$I75)</f>
        <v>56.275806451612901</v>
      </c>
      <c r="K75" s="77"/>
      <c r="L75" s="79">
        <f>AVERAGE(L3:L74)</f>
        <v>0.75768045876775514</v>
      </c>
      <c r="M75" s="33"/>
      <c r="N75" s="33">
        <f>SUM(K$4:$K75)/COUNT(K$4:$K75)</f>
        <v>52.204183609098315</v>
      </c>
      <c r="O75" s="109">
        <f>AVERAGE(O3:O74)</f>
        <v>4.0716228425145848</v>
      </c>
      <c r="P75" s="39"/>
      <c r="Q75" s="33">
        <f>SUM($O$4:O75)/COUNT($O$4:O75)</f>
        <v>4.0716228425145848</v>
      </c>
      <c r="R75" s="39">
        <f>SUM(P$4:$P75)/COUNT(P$4:$P75)</f>
        <v>7.889814233379891E-2</v>
      </c>
      <c r="S75" s="33"/>
      <c r="T75" s="40"/>
      <c r="U75" s="40"/>
      <c r="V75" s="33"/>
      <c r="W75" s="33"/>
      <c r="X75" s="33"/>
      <c r="AA75" s="27" t="s">
        <v>25</v>
      </c>
      <c r="AB75" s="55">
        <f>SUMIF(C:C,AA75,H:H)</f>
        <v>72.132270000000005</v>
      </c>
    </row>
    <row r="76" spans="2:38" x14ac:dyDescent="0.25">
      <c r="AA76" s="27" t="s">
        <v>26</v>
      </c>
      <c r="AB76" s="55">
        <f>SUMIF(C:C,AA76,H:H)</f>
        <v>79.029240000000001</v>
      </c>
    </row>
    <row r="77" spans="2:38" x14ac:dyDescent="0.25">
      <c r="AA77" s="27" t="s">
        <v>27</v>
      </c>
      <c r="AB77" s="55">
        <f>SUMIF(C:C,AA77,H:H)</f>
        <v>61.944360000000003</v>
      </c>
    </row>
    <row r="78" spans="2:38" x14ac:dyDescent="0.25">
      <c r="AA78" s="27" t="s">
        <v>28</v>
      </c>
      <c r="AB78" s="55">
        <f>SUMIF(C:C,AA78,H:H)</f>
        <v>36.749879999999997</v>
      </c>
    </row>
    <row r="79" spans="2:38" x14ac:dyDescent="0.25">
      <c r="AA79" s="27" t="s">
        <v>31</v>
      </c>
      <c r="AB79" s="55">
        <f>SUMIF(C:C,AA79,H:H)</f>
        <v>101.26751999999999</v>
      </c>
    </row>
    <row r="80" spans="2:38" x14ac:dyDescent="0.25">
      <c r="AA80" s="27" t="s">
        <v>32</v>
      </c>
      <c r="AB80" s="55">
        <f>SUMIF(C:C,AA80,H:H)</f>
        <v>65.148740000000004</v>
      </c>
    </row>
    <row r="81" spans="27:28" x14ac:dyDescent="0.25">
      <c r="AA81" s="27" t="s">
        <v>33</v>
      </c>
      <c r="AB81" s="55">
        <f>SUMIF(C:C,AA81,H:H)</f>
        <v>69.879519999999999</v>
      </c>
    </row>
    <row r="82" spans="27:28" x14ac:dyDescent="0.25">
      <c r="AA82" s="27" t="s">
        <v>35</v>
      </c>
      <c r="AB82" s="55">
        <f>SUMIF(C:C,AA82,H:H)</f>
        <v>66.802320000000009</v>
      </c>
    </row>
    <row r="83" spans="27:28" x14ac:dyDescent="0.25">
      <c r="AA83" s="27" t="s">
        <v>34</v>
      </c>
      <c r="AB83" s="55">
        <f>SUMIF(C:C,AA83,H:H)</f>
        <v>71.819770000000005</v>
      </c>
    </row>
    <row r="84" spans="27:28" x14ac:dyDescent="0.25">
      <c r="AA84" s="27" t="s">
        <v>36</v>
      </c>
      <c r="AB84" s="55">
        <f>SUMIF(C:C,AA84,H:H)</f>
        <v>120.0675</v>
      </c>
    </row>
    <row r="85" spans="27:28" x14ac:dyDescent="0.25">
      <c r="AA85" s="27" t="s">
        <v>37</v>
      </c>
      <c r="AB85" s="55">
        <f>SUMIF(C:C,AA85,H:H)</f>
        <v>81.001570000000001</v>
      </c>
    </row>
    <row r="86" spans="27:28" x14ac:dyDescent="0.25">
      <c r="AA86" s="27" t="s">
        <v>38</v>
      </c>
      <c r="AB86" s="55">
        <f>SUMIF(C:C,AA86,H:H)</f>
        <v>107.92327</v>
      </c>
    </row>
    <row r="87" spans="27:28" x14ac:dyDescent="0.25">
      <c r="AA87" s="27" t="s">
        <v>39</v>
      </c>
      <c r="AB87" s="55">
        <f>SUMIF(C:C,AA87,H:H)</f>
        <v>78.984099999999998</v>
      </c>
    </row>
    <row r="88" spans="27:28" x14ac:dyDescent="0.25">
      <c r="AA88" s="27" t="s">
        <v>40</v>
      </c>
      <c r="AB88" s="55">
        <f>SUMIF(C:C,AA88,H:H)</f>
        <v>115.58581000000001</v>
      </c>
    </row>
    <row r="89" spans="27:28" x14ac:dyDescent="0.25">
      <c r="AA89" s="27" t="s">
        <v>30</v>
      </c>
      <c r="AB89" s="55">
        <f>SUMIF(C:C,AA89,H:H)</f>
        <v>109.61420000000001</v>
      </c>
    </row>
    <row r="90" spans="27:28" x14ac:dyDescent="0.25">
      <c r="AA90" s="27" t="s">
        <v>29</v>
      </c>
      <c r="AB90" s="55">
        <f>SUMIF(C:C,AA90,H:H)</f>
        <v>75.706870000000009</v>
      </c>
    </row>
    <row r="91" spans="27:28" x14ac:dyDescent="0.25">
      <c r="AA91" s="27" t="s">
        <v>122</v>
      </c>
      <c r="AB91" s="55">
        <f>SUMIF(C:C,AA91,H:H)</f>
        <v>134.13217</v>
      </c>
    </row>
    <row r="92" spans="27:28" x14ac:dyDescent="0.25">
      <c r="AA92" s="27" t="s">
        <v>123</v>
      </c>
      <c r="AB92" s="55">
        <f>SUMIF(C:C,AA92,H:H)</f>
        <v>30.33972</v>
      </c>
    </row>
    <row r="93" spans="27:28" x14ac:dyDescent="0.25">
      <c r="AA93" s="27" t="s">
        <v>124</v>
      </c>
      <c r="AB93" s="55">
        <f>SUMIF(C:C,AA93,H:H)</f>
        <v>94.763570000000016</v>
      </c>
    </row>
    <row r="94" spans="27:28" x14ac:dyDescent="0.25">
      <c r="AA94" s="27" t="s">
        <v>125</v>
      </c>
      <c r="AB94" s="55">
        <f>SUMIF(C:C,AA94,H:H)</f>
        <v>0</v>
      </c>
    </row>
    <row r="95" spans="27:28" x14ac:dyDescent="0.25">
      <c r="AA95" s="27" t="s">
        <v>126</v>
      </c>
      <c r="AB95" s="55">
        <f>SUMIF(C:C,AA95,H:H)</f>
        <v>0</v>
      </c>
    </row>
    <row r="96" spans="27:28" x14ac:dyDescent="0.25">
      <c r="AA96" s="57" t="s">
        <v>78</v>
      </c>
      <c r="AB96" s="56">
        <f>AVERAGE(AB70:AB95)</f>
        <v>76.642815384615375</v>
      </c>
    </row>
  </sheetData>
  <mergeCells count="31">
    <mergeCell ref="AG12:AH14"/>
    <mergeCell ref="AC11:AD11"/>
    <mergeCell ref="AA13:AA14"/>
    <mergeCell ref="AB13:AB14"/>
    <mergeCell ref="U1:V1"/>
    <mergeCell ref="AC12:AD14"/>
    <mergeCell ref="AE12:AF14"/>
    <mergeCell ref="AA11:AB11"/>
    <mergeCell ref="AE7:AF7"/>
    <mergeCell ref="AA12:AB12"/>
    <mergeCell ref="AA8:AB9"/>
    <mergeCell ref="AC8:AD9"/>
    <mergeCell ref="AI6:AJ6"/>
    <mergeCell ref="AI7:AJ7"/>
    <mergeCell ref="AI8:AJ10"/>
    <mergeCell ref="AI11:AJ11"/>
    <mergeCell ref="AE6:AF6"/>
    <mergeCell ref="AE8:AF10"/>
    <mergeCell ref="AG8:AH10"/>
    <mergeCell ref="AE11:AF11"/>
    <mergeCell ref="AG11:AH11"/>
    <mergeCell ref="AG6:AH6"/>
    <mergeCell ref="AG7:AH7"/>
    <mergeCell ref="B1:K1"/>
    <mergeCell ref="M1:O1"/>
    <mergeCell ref="S1:T1"/>
    <mergeCell ref="AC7:AD7"/>
    <mergeCell ref="AA7:AB7"/>
    <mergeCell ref="AA6:AB6"/>
    <mergeCell ref="AC6:AD6"/>
    <mergeCell ref="AA4:AB4"/>
  </mergeCells>
  <conditionalFormatting sqref="AG6:AH6">
    <cfRule type="cellIs" dxfId="16" priority="91" stopIfTrue="1" operator="lessThan">
      <formula>0</formula>
    </cfRule>
    <cfRule type="cellIs" dxfId="15" priority="92" stopIfTrue="1" operator="lessThan">
      <formula>250</formula>
    </cfRule>
    <cfRule type="cellIs" dxfId="14" priority="93" stopIfTrue="1" operator="lessThan">
      <formula>500</formula>
    </cfRule>
    <cfRule type="cellIs" dxfId="13" priority="100" stopIfTrue="1" operator="lessThan">
      <formula>1000</formula>
    </cfRule>
  </conditionalFormatting>
  <conditionalFormatting sqref="AI6">
    <cfRule type="timePeriod" dxfId="12" priority="99" timePeriod="thisMonth">
      <formula>AND(MONTH(AI6)=MONTH(TODAY()),YEAR(AI6)=YEAR(TODAY()))</formula>
    </cfRule>
  </conditionalFormatting>
  <conditionalFormatting sqref="AI8:AJ10">
    <cfRule type="expression" dxfId="11" priority="94" stopIfTrue="1">
      <formula>TODAY()&gt;AI8</formula>
    </cfRule>
    <cfRule type="expression" dxfId="10" priority="95" stopIfTrue="1">
      <formula>TODAY()&gt;AI8-15</formula>
    </cfRule>
    <cfRule type="expression" dxfId="9" priority="96" stopIfTrue="1">
      <formula>TODAY()&gt;AI8-30</formula>
    </cfRule>
    <cfRule type="expression" dxfId="8" priority="97" stopIfTrue="1">
      <formula>TODAY()&gt;AI8-45</formula>
    </cfRule>
  </conditionalFormatting>
  <conditionalFormatting sqref="J8 J15 J36 J43 J50 J21:J22 J34 J47 J28:J29 J41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X75">
    <cfRule type="colorScale" priority="10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3:L75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N75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7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75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74">
    <cfRule type="colorScale" priority="116">
      <colorScale>
        <cfvo type="min"/>
        <cfvo type="percentile" val="50"/>
        <cfvo type="max"/>
        <color rgb="FFF8696B"/>
        <color rgb="FF92D050"/>
        <color rgb="FFF8696B"/>
      </colorScale>
    </cfRule>
  </conditionalFormatting>
  <conditionalFormatting sqref="N4:N75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75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75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:R75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75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75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74">
    <cfRule type="colorScale" priority="130">
      <colorScale>
        <cfvo type="min"/>
        <cfvo type="percentile" val="50"/>
        <cfvo type="max"/>
        <color rgb="FFF8696B"/>
        <color rgb="FF92D050"/>
        <color rgb="FFF8696B"/>
      </colorScale>
    </cfRule>
  </conditionalFormatting>
  <conditionalFormatting sqref="W3:X75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74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:K74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3"/>
  <sheetViews>
    <sheetView workbookViewId="0">
      <selection activeCell="C52" sqref="C52:D54"/>
    </sheetView>
  </sheetViews>
  <sheetFormatPr defaultRowHeight="15" x14ac:dyDescent="0.25"/>
  <cols>
    <col min="1" max="1" width="2.5703125" customWidth="1"/>
    <col min="2" max="2" width="15.140625" bestFit="1" customWidth="1"/>
    <col min="3" max="4" width="9.140625" style="1"/>
    <col min="5" max="5" width="15.140625" bestFit="1" customWidth="1"/>
    <col min="6" max="6" width="18.7109375" customWidth="1"/>
    <col min="7" max="7" width="20.5703125" bestFit="1" customWidth="1"/>
    <col min="8" max="8" width="19.85546875" customWidth="1"/>
  </cols>
  <sheetData>
    <row r="1" spans="1:27" ht="21" x14ac:dyDescent="0.35">
      <c r="A1" s="119"/>
      <c r="B1" s="120" t="s">
        <v>41</v>
      </c>
      <c r="C1" s="121"/>
      <c r="D1" s="121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</row>
    <row r="2" spans="1:27" x14ac:dyDescent="0.25">
      <c r="A2" s="119"/>
      <c r="B2" s="119"/>
      <c r="C2" s="121"/>
      <c r="D2" s="121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27" x14ac:dyDescent="0.25">
      <c r="A3" s="119"/>
      <c r="B3" s="119"/>
      <c r="C3" s="121"/>
      <c r="D3" s="121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27" x14ac:dyDescent="0.25">
      <c r="A4" s="119"/>
      <c r="B4" s="119"/>
      <c r="C4" s="121"/>
      <c r="D4" s="121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1:27" x14ac:dyDescent="0.25">
      <c r="A5" s="119"/>
      <c r="B5" s="119"/>
      <c r="C5" s="121"/>
      <c r="D5" s="121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27" x14ac:dyDescent="0.25">
      <c r="A6" s="119"/>
      <c r="B6" s="119"/>
      <c r="C6" s="121"/>
      <c r="D6" s="121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</row>
    <row r="7" spans="1:27" x14ac:dyDescent="0.25">
      <c r="A7" s="119"/>
      <c r="B7" s="119"/>
      <c r="C7" s="121"/>
      <c r="D7" s="121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</row>
    <row r="8" spans="1:27" x14ac:dyDescent="0.25">
      <c r="A8" s="119"/>
      <c r="B8" s="119"/>
      <c r="C8" s="121"/>
      <c r="D8" s="121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</row>
    <row r="9" spans="1:27" x14ac:dyDescent="0.25">
      <c r="A9" s="119"/>
      <c r="B9" s="119"/>
      <c r="C9" s="121"/>
      <c r="D9" s="121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</row>
    <row r="10" spans="1:27" x14ac:dyDescent="0.25">
      <c r="A10" s="119"/>
      <c r="B10" s="119"/>
      <c r="C10" s="121"/>
      <c r="D10" s="121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</row>
    <row r="11" spans="1:27" x14ac:dyDescent="0.25">
      <c r="A11" s="119"/>
      <c r="B11" s="119"/>
      <c r="C11" s="121"/>
      <c r="D11" s="121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</row>
    <row r="12" spans="1:27" x14ac:dyDescent="0.25">
      <c r="A12" s="119"/>
      <c r="B12" s="119"/>
      <c r="C12" s="121"/>
      <c r="D12" s="121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</row>
    <row r="13" spans="1:27" x14ac:dyDescent="0.25">
      <c r="A13" s="119"/>
      <c r="B13" s="119"/>
      <c r="C13" s="121"/>
      <c r="D13" s="121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</row>
    <row r="14" spans="1:27" x14ac:dyDescent="0.25">
      <c r="A14" s="119"/>
      <c r="B14" s="119"/>
      <c r="C14" s="121"/>
      <c r="D14" s="121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</row>
    <row r="15" spans="1:27" x14ac:dyDescent="0.25">
      <c r="A15" s="119"/>
      <c r="B15" s="119"/>
      <c r="C15" s="121"/>
      <c r="D15" s="121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</row>
    <row r="16" spans="1:27" x14ac:dyDescent="0.25">
      <c r="A16" s="119"/>
      <c r="B16" s="119"/>
      <c r="C16" s="121"/>
      <c r="D16" s="121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</row>
    <row r="17" spans="1:27" x14ac:dyDescent="0.25">
      <c r="A17" s="119"/>
      <c r="B17" s="119"/>
      <c r="C17" s="121"/>
      <c r="D17" s="121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</row>
    <row r="18" spans="1:27" x14ac:dyDescent="0.25">
      <c r="A18" s="119"/>
      <c r="B18" s="119"/>
      <c r="C18" s="121"/>
      <c r="D18" s="121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</row>
    <row r="19" spans="1:27" x14ac:dyDescent="0.25">
      <c r="A19" s="119"/>
      <c r="B19" s="119"/>
      <c r="C19" s="121"/>
      <c r="D19" s="121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</row>
    <row r="20" spans="1:27" x14ac:dyDescent="0.25">
      <c r="A20" s="119"/>
      <c r="B20" s="119"/>
      <c r="C20" s="121"/>
      <c r="D20" s="121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</row>
    <row r="21" spans="1:27" x14ac:dyDescent="0.25">
      <c r="A21" s="119"/>
      <c r="B21" s="119"/>
      <c r="C21" s="121"/>
      <c r="D21" s="121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</row>
    <row r="22" spans="1:27" x14ac:dyDescent="0.25">
      <c r="A22" s="119"/>
      <c r="B22" s="119"/>
      <c r="C22" s="121"/>
      <c r="D22" s="121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</row>
    <row r="23" spans="1:27" x14ac:dyDescent="0.25">
      <c r="A23" s="119"/>
      <c r="B23" s="119"/>
      <c r="C23" s="121"/>
      <c r="D23" s="121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</row>
    <row r="24" spans="1:27" x14ac:dyDescent="0.25">
      <c r="A24" s="119"/>
      <c r="B24" s="119"/>
      <c r="C24" s="121"/>
      <c r="D24" s="121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1:27" x14ac:dyDescent="0.25">
      <c r="A25" s="119"/>
      <c r="B25" s="119"/>
      <c r="C25" s="121"/>
      <c r="D25" s="121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</row>
    <row r="26" spans="1:27" x14ac:dyDescent="0.25">
      <c r="A26" s="119"/>
      <c r="B26" s="119"/>
      <c r="C26" s="121"/>
      <c r="D26" s="121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</row>
    <row r="27" spans="1:27" x14ac:dyDescent="0.25">
      <c r="A27" s="119"/>
      <c r="B27" s="119"/>
      <c r="C27" s="121"/>
      <c r="D27" s="121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</row>
    <row r="28" spans="1:27" x14ac:dyDescent="0.25">
      <c r="A28" s="119"/>
      <c r="B28" s="119"/>
      <c r="C28" s="121"/>
      <c r="D28" s="121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</row>
    <row r="29" spans="1:27" x14ac:dyDescent="0.25">
      <c r="A29" s="119"/>
      <c r="B29" s="122" t="s">
        <v>16</v>
      </c>
      <c r="C29" s="122" t="s">
        <v>17</v>
      </c>
      <c r="D29" s="122" t="s">
        <v>96</v>
      </c>
      <c r="E29" s="122" t="s">
        <v>14</v>
      </c>
      <c r="F29" s="122" t="s">
        <v>18</v>
      </c>
      <c r="G29" s="122" t="s">
        <v>120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</row>
    <row r="30" spans="1:27" x14ac:dyDescent="0.25">
      <c r="A30" s="119"/>
      <c r="B30" s="123" t="s">
        <v>19</v>
      </c>
      <c r="C30" s="124">
        <f ca="1">SUMIF('2016'!C3:D74,B30,'2016'!D3:D74)</f>
        <v>782.5</v>
      </c>
      <c r="D30" s="125">
        <f>SUMIF('2016'!$C$3:$C$74,B30,'2016'!$H$3:$H$74)</f>
        <v>71.789999999999992</v>
      </c>
      <c r="E30" s="124">
        <f ca="1">'2016'!P1+C30</f>
        <v>20386.5</v>
      </c>
      <c r="F30" s="124">
        <v>27841</v>
      </c>
      <c r="G30" s="126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</row>
    <row r="31" spans="1:27" x14ac:dyDescent="0.25">
      <c r="A31" s="119"/>
      <c r="B31" s="123" t="s">
        <v>20</v>
      </c>
      <c r="C31" s="124">
        <f ca="1">SUMIF('2016'!C4:D75,B31,'2016'!D4:D75)</f>
        <v>737.5</v>
      </c>
      <c r="D31" s="125">
        <f>SUMIF('2016'!$C$3:$C$74,B31,'2016'!$H$3:$H$74)</f>
        <v>63.61</v>
      </c>
      <c r="E31" s="124">
        <f t="shared" ref="E31:E45" ca="1" si="0">E30+C31</f>
        <v>21124</v>
      </c>
      <c r="F31" s="124">
        <v>27841</v>
      </c>
      <c r="G31" s="126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</row>
    <row r="32" spans="1:27" x14ac:dyDescent="0.25">
      <c r="A32" s="119"/>
      <c r="B32" s="123" t="s">
        <v>21</v>
      </c>
      <c r="C32" s="124">
        <f ca="1">SUMIF('2016'!C5:D76,B32,'2016'!D5:D76)</f>
        <v>759.5</v>
      </c>
      <c r="D32" s="125">
        <f>SUMIF('2016'!$C$3:$C$74,B32,'2016'!$H$3:$H$74)</f>
        <v>70.460000000000008</v>
      </c>
      <c r="E32" s="124">
        <f t="shared" ca="1" si="0"/>
        <v>21883.5</v>
      </c>
      <c r="F32" s="124">
        <v>27841</v>
      </c>
      <c r="G32" s="126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</row>
    <row r="33" spans="1:27" x14ac:dyDescent="0.25">
      <c r="A33" s="119"/>
      <c r="B33" s="123" t="s">
        <v>22</v>
      </c>
      <c r="C33" s="124">
        <f ca="1">SUMIF('2016'!C6:D77,B33,'2016'!D6:D77)</f>
        <v>1186</v>
      </c>
      <c r="D33" s="125">
        <f>SUMIF('2016'!$C$3:$C$74,B33,'2016'!$H$3:$H$74)</f>
        <v>114.20865000000001</v>
      </c>
      <c r="E33" s="124">
        <f t="shared" ca="1" si="0"/>
        <v>23069.5</v>
      </c>
      <c r="F33" s="124">
        <v>27841</v>
      </c>
      <c r="G33" s="126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</row>
    <row r="34" spans="1:27" x14ac:dyDescent="0.25">
      <c r="A34" s="119"/>
      <c r="B34" s="123" t="s">
        <v>23</v>
      </c>
      <c r="C34" s="124">
        <f ca="1">SUMIF('2016'!C7:D78,B34,'2016'!D7:D78)</f>
        <v>674.7</v>
      </c>
      <c r="D34" s="125">
        <f>SUMIF('2016'!$C$3:$C$74,B34,'2016'!$H$3:$H$74)</f>
        <v>67.551410000000004</v>
      </c>
      <c r="E34" s="124">
        <f t="shared" ca="1" si="0"/>
        <v>23744.2</v>
      </c>
      <c r="F34" s="124">
        <v>27841</v>
      </c>
      <c r="G34" s="126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</row>
    <row r="35" spans="1:27" x14ac:dyDescent="0.25">
      <c r="A35" s="119"/>
      <c r="B35" s="123" t="s">
        <v>24</v>
      </c>
      <c r="C35" s="124">
        <f ca="1">SUMIF('2016'!C8:D79,B35,'2016'!D8:D79)</f>
        <v>1029.9000000000001</v>
      </c>
      <c r="D35" s="125">
        <f>SUMIF('2016'!$C$3:$C$74,B35,'2016'!$H$3:$H$74)</f>
        <v>103.99073999999999</v>
      </c>
      <c r="E35" s="124">
        <f t="shared" ca="1" si="0"/>
        <v>24774.100000000002</v>
      </c>
      <c r="F35" s="124">
        <v>27841</v>
      </c>
      <c r="G35" s="127">
        <v>24774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</row>
    <row r="36" spans="1:27" x14ac:dyDescent="0.25">
      <c r="A36" s="119"/>
      <c r="B36" s="123" t="s">
        <v>25</v>
      </c>
      <c r="C36" s="124">
        <f ca="1">SUMIF('2016'!C9:D80,B36,'2016'!D9:D80)</f>
        <v>688.7</v>
      </c>
      <c r="D36" s="125">
        <f>SUMIF('2016'!$C$3:$C$74,B36,'2016'!$H$3:$H$74)</f>
        <v>72.132270000000005</v>
      </c>
      <c r="E36" s="124">
        <f t="shared" ca="1" si="0"/>
        <v>25462.800000000003</v>
      </c>
      <c r="F36" s="124">
        <v>27841</v>
      </c>
      <c r="G36" s="127">
        <f ca="1">G35+AVERAGE(C30:C35)</f>
        <v>25635.683333333334</v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</row>
    <row r="37" spans="1:27" x14ac:dyDescent="0.25">
      <c r="A37" s="119"/>
      <c r="B37" s="123" t="s">
        <v>26</v>
      </c>
      <c r="C37" s="124">
        <f ca="1">SUMIF('2016'!C10:D81,B37,'2016'!D10:D81)</f>
        <v>763.8</v>
      </c>
      <c r="D37" s="125">
        <f>SUMIF('2016'!$C$3:$C$74,B37,'2016'!$H$3:$H$74)</f>
        <v>79.029240000000001</v>
      </c>
      <c r="E37" s="124">
        <f t="shared" ca="1" si="0"/>
        <v>26226.600000000002</v>
      </c>
      <c r="F37" s="124">
        <v>27841</v>
      </c>
      <c r="G37" s="127">
        <f t="shared" ref="G37:G48" ca="1" si="1">G36+AVERAGE(C31:C36)</f>
        <v>26481.733333333334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</row>
    <row r="38" spans="1:27" x14ac:dyDescent="0.25">
      <c r="A38" s="119"/>
      <c r="B38" s="123" t="s">
        <v>27</v>
      </c>
      <c r="C38" s="124">
        <f ca="1">SUMIF('2016'!C11:D82,B38,'2016'!D11:D82)</f>
        <v>479.7</v>
      </c>
      <c r="D38" s="125">
        <f>SUMIF('2016'!$C$3:$C$74,B38,'2016'!$H$3:$H$74)</f>
        <v>61.944360000000003</v>
      </c>
      <c r="E38" s="124">
        <f t="shared" ca="1" si="0"/>
        <v>26706.300000000003</v>
      </c>
      <c r="F38" s="124">
        <v>36231</v>
      </c>
      <c r="G38" s="127">
        <f t="shared" ca="1" si="1"/>
        <v>27332.166666666668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</row>
    <row r="39" spans="1:27" x14ac:dyDescent="0.25">
      <c r="A39" s="119"/>
      <c r="B39" s="123" t="s">
        <v>28</v>
      </c>
      <c r="C39" s="124">
        <f ca="1">SUMIF('2016'!C12:D83,B39,'2016'!D12:D83)</f>
        <v>362.5</v>
      </c>
      <c r="D39" s="125">
        <f>SUMIF('2016'!$C$3:$C$74,B39,'2016'!$H$3:$H$74)</f>
        <v>36.749879999999997</v>
      </c>
      <c r="E39" s="124">
        <f t="shared" ca="1" si="0"/>
        <v>27068.800000000003</v>
      </c>
      <c r="F39" s="124">
        <v>36231</v>
      </c>
      <c r="G39" s="127">
        <f t="shared" ca="1" si="1"/>
        <v>28135.966666666667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</row>
    <row r="40" spans="1:27" x14ac:dyDescent="0.25">
      <c r="A40" s="119"/>
      <c r="B40" s="123" t="s">
        <v>31</v>
      </c>
      <c r="C40" s="124">
        <f ca="1">SUMIF('2016'!C13:D84,B40,'2016'!D13:D84)</f>
        <v>1073.5999999999999</v>
      </c>
      <c r="D40" s="125">
        <f>SUMIF('2016'!$C$3:$C$74,B40,'2016'!$H$3:$H$74)</f>
        <v>101.26751999999999</v>
      </c>
      <c r="E40" s="124">
        <f t="shared" ca="1" si="0"/>
        <v>28142.400000000001</v>
      </c>
      <c r="F40" s="124">
        <v>36232</v>
      </c>
      <c r="G40" s="127">
        <f t="shared" ca="1" si="1"/>
        <v>28802.516666666666</v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</row>
    <row r="41" spans="1:27" x14ac:dyDescent="0.25">
      <c r="A41" s="119"/>
      <c r="B41" s="123" t="s">
        <v>32</v>
      </c>
      <c r="C41" s="124">
        <f ca="1">SUMIF('2016'!C14:D85,B41,'2016'!D14:D85)</f>
        <v>711.4</v>
      </c>
      <c r="D41" s="125">
        <f>SUMIF('2016'!$C$3:$C$74,B41,'2016'!$H$3:$H$74)</f>
        <v>65.148740000000004</v>
      </c>
      <c r="E41" s="124">
        <f t="shared" ca="1" si="0"/>
        <v>28853.800000000003</v>
      </c>
      <c r="F41" s="124">
        <v>36233</v>
      </c>
      <c r="G41" s="127">
        <f t="shared" ca="1" si="1"/>
        <v>29535.55</v>
      </c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</row>
    <row r="42" spans="1:27" x14ac:dyDescent="0.25">
      <c r="A42" s="119"/>
      <c r="B42" s="123" t="s">
        <v>33</v>
      </c>
      <c r="C42" s="124">
        <f ca="1">SUMIF('2016'!C15:D86,B42,'2016'!D15:D86)</f>
        <v>692.6</v>
      </c>
      <c r="D42" s="125">
        <f>SUMIF('2016'!$C$3:$C$74,B42,'2016'!$H$3:$H$74)</f>
        <v>69.879519999999999</v>
      </c>
      <c r="E42" s="124">
        <f t="shared" ca="1" si="0"/>
        <v>29546.400000000001</v>
      </c>
      <c r="F42" s="124">
        <v>36231</v>
      </c>
      <c r="G42" s="127">
        <f t="shared" ca="1" si="1"/>
        <v>30215.5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</row>
    <row r="43" spans="1:27" x14ac:dyDescent="0.25">
      <c r="A43" s="119"/>
      <c r="B43" s="123" t="s">
        <v>35</v>
      </c>
      <c r="C43" s="124">
        <f ca="1">SUMIF('2016'!C16:D87,B43,'2016'!D16:D87)</f>
        <v>669.6</v>
      </c>
      <c r="D43" s="125">
        <f>SUMIF('2016'!$C$3:$C$74,B43,'2016'!$H$3:$H$74)</f>
        <v>66.802320000000009</v>
      </c>
      <c r="E43" s="124">
        <f t="shared" ca="1" si="0"/>
        <v>30216</v>
      </c>
      <c r="F43" s="124">
        <v>36231</v>
      </c>
      <c r="G43" s="127">
        <f t="shared" ca="1" si="1"/>
        <v>30896.1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</row>
    <row r="44" spans="1:27" x14ac:dyDescent="0.25">
      <c r="A44" s="119"/>
      <c r="B44" s="123" t="s">
        <v>34</v>
      </c>
      <c r="C44" s="124">
        <f ca="1">SUMIF('2016'!C17:D88,B44,'2016'!D17:D88)</f>
        <v>693.9</v>
      </c>
      <c r="D44" s="125">
        <f>SUMIF('2016'!$C$3:$C$74,B44,'2016'!$H$3:$H$74)</f>
        <v>71.819770000000005</v>
      </c>
      <c r="E44" s="124">
        <f t="shared" ca="1" si="0"/>
        <v>30909.9</v>
      </c>
      <c r="F44" s="124">
        <v>36231</v>
      </c>
      <c r="G44" s="127">
        <f t="shared" ca="1" si="1"/>
        <v>31561</v>
      </c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x14ac:dyDescent="0.25">
      <c r="A45" s="119"/>
      <c r="B45" s="123" t="s">
        <v>36</v>
      </c>
      <c r="C45" s="124">
        <f ca="1">SUMIF('2016'!C18:D89,B45,'2016'!D18:D89)</f>
        <v>1186.2</v>
      </c>
      <c r="D45" s="125">
        <f>SUMIF('2016'!$C$3:$C$74,B45,'2016'!$H$3:$H$74)</f>
        <v>120.0675</v>
      </c>
      <c r="E45" s="124">
        <f t="shared" ca="1" si="0"/>
        <v>32096.100000000002</v>
      </c>
      <c r="F45" s="124">
        <v>36231</v>
      </c>
      <c r="G45" s="127">
        <f t="shared" ca="1" si="1"/>
        <v>32261.599999999999</v>
      </c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x14ac:dyDescent="0.25">
      <c r="A46" s="119"/>
      <c r="B46" s="123" t="s">
        <v>37</v>
      </c>
      <c r="C46" s="124">
        <f ca="1">SUMIF('2016'!C19:D90,B46,'2016'!D19:D90)</f>
        <v>772.8</v>
      </c>
      <c r="D46" s="125">
        <f>SUMIF('2016'!$C$3:$C$74,B46,'2016'!$H$3:$H$74)</f>
        <v>81.001570000000001</v>
      </c>
      <c r="E46" s="124">
        <f t="shared" ref="E46:E54" ca="1" si="2">E45+C46</f>
        <v>32868.9</v>
      </c>
      <c r="F46" s="124">
        <v>36231</v>
      </c>
      <c r="G46" s="127">
        <f t="shared" ca="1" si="1"/>
        <v>33099.48333333333</v>
      </c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1:27" x14ac:dyDescent="0.25">
      <c r="A47" s="119"/>
      <c r="B47" s="123" t="s">
        <v>38</v>
      </c>
      <c r="C47" s="124">
        <f ca="1">SUMIF('2016'!C20:D91,B47,'2016'!D20:D91)</f>
        <v>989.40000000000009</v>
      </c>
      <c r="D47" s="125">
        <f>SUMIF('2016'!$C$3:$C$74,B47,'2016'!$H$3:$H$74)</f>
        <v>107.92327</v>
      </c>
      <c r="E47" s="124">
        <f t="shared" ca="1" si="2"/>
        <v>33858.300000000003</v>
      </c>
      <c r="F47" s="124">
        <v>36231</v>
      </c>
      <c r="G47" s="127">
        <f t="shared" ca="1" si="1"/>
        <v>33887.23333333333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</row>
    <row r="48" spans="1:27" x14ac:dyDescent="0.25">
      <c r="A48" s="119"/>
      <c r="B48" s="123" t="s">
        <v>39</v>
      </c>
      <c r="C48" s="124">
        <f ca="1">SUMIF('2016'!C21:D92,B48,'2016'!D21:D92)</f>
        <v>703.1</v>
      </c>
      <c r="D48" s="125">
        <f>SUMIF('2016'!$C$3:$C$74,B48,'2016'!$H$3:$H$74)</f>
        <v>78.984099999999998</v>
      </c>
      <c r="E48" s="124">
        <f t="shared" ca="1" si="2"/>
        <v>34561.4</v>
      </c>
      <c r="F48" s="124">
        <v>36231</v>
      </c>
      <c r="G48" s="127">
        <f t="shared" ca="1" si="1"/>
        <v>34721.316666666666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</row>
    <row r="49" spans="1:27" x14ac:dyDescent="0.25">
      <c r="A49" s="119"/>
      <c r="B49" s="123" t="s">
        <v>40</v>
      </c>
      <c r="C49" s="124">
        <f ca="1">SUMIF('2016'!C22:D93,B49,'2016'!D22:D93)</f>
        <v>1094.7</v>
      </c>
      <c r="D49" s="125">
        <f>SUMIF('2016'!$C$3:$C$74,B49,'2016'!$H$3:$H$74)</f>
        <v>115.58581000000001</v>
      </c>
      <c r="E49" s="124">
        <f ca="1">E48+C49</f>
        <v>35656.1</v>
      </c>
      <c r="F49" s="124">
        <v>36231</v>
      </c>
      <c r="G49" s="127">
        <f t="shared" ref="G49:G54" ca="1" si="3">G48+AVERAGE(C43:C48)</f>
        <v>35557.15</v>
      </c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</row>
    <row r="50" spans="1:27" x14ac:dyDescent="0.25">
      <c r="A50" s="119"/>
      <c r="B50" s="123" t="s">
        <v>30</v>
      </c>
      <c r="C50" s="124">
        <f ca="1">SUMIF('2016'!C23:D94,B50,'2016'!D23:D94)</f>
        <v>1050.7</v>
      </c>
      <c r="D50" s="125">
        <f>SUMIF('2016'!$C$3:$C$74,B50,'2016'!$H$3:$H$74)</f>
        <v>109.61420000000001</v>
      </c>
      <c r="E50" s="124">
        <f t="shared" ca="1" si="2"/>
        <v>36706.799999999996</v>
      </c>
      <c r="F50" s="124">
        <v>45228</v>
      </c>
      <c r="G50" s="127">
        <f t="shared" ca="1" si="3"/>
        <v>36463.833333333336</v>
      </c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</row>
    <row r="51" spans="1:27" x14ac:dyDescent="0.25">
      <c r="A51" s="119"/>
      <c r="B51" s="123" t="s">
        <v>29</v>
      </c>
      <c r="C51" s="124">
        <f ca="1">SUMIF('2016'!C24:D95,B51,'2016'!D24:D95)</f>
        <v>733.2</v>
      </c>
      <c r="D51" s="125">
        <f>SUMIF('2016'!$C$3:$C$74,B51,'2016'!$H$3:$H$74)</f>
        <v>75.706870000000009</v>
      </c>
      <c r="E51" s="124">
        <f t="shared" ca="1" si="2"/>
        <v>37439.999999999993</v>
      </c>
      <c r="F51" s="124">
        <v>45228</v>
      </c>
      <c r="G51" s="127">
        <f t="shared" ca="1" si="3"/>
        <v>37429.983333333337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</row>
    <row r="52" spans="1:27" s="24" customFormat="1" x14ac:dyDescent="0.25">
      <c r="A52" s="119"/>
      <c r="B52" s="123" t="s">
        <v>122</v>
      </c>
      <c r="C52" s="124">
        <f ca="1">SUMIF('2016'!C25:D96,B52,'2016'!D25:D96)</f>
        <v>1339.1</v>
      </c>
      <c r="D52" s="125">
        <f>SUMIF('2016'!$C$3:$C$74,B52,'2016'!$H$3:$H$74)</f>
        <v>134.13217</v>
      </c>
      <c r="E52" s="124">
        <f t="shared" ca="1" si="2"/>
        <v>38779.099999999991</v>
      </c>
      <c r="F52" s="124">
        <v>45228</v>
      </c>
      <c r="G52" s="127">
        <f t="shared" ca="1" si="3"/>
        <v>38320.633333333339</v>
      </c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</row>
    <row r="53" spans="1:27" s="24" customFormat="1" x14ac:dyDescent="0.25">
      <c r="A53" s="119"/>
      <c r="B53" s="123" t="s">
        <v>123</v>
      </c>
      <c r="C53" s="124">
        <f ca="1">SUMIF('2016'!C26:D97,B53,'2016'!D26:D97)</f>
        <v>304.7</v>
      </c>
      <c r="D53" s="125">
        <f>SUMIF('2016'!$C$3:$C$74,B53,'2016'!$H$3:$H$74)</f>
        <v>30.33972</v>
      </c>
      <c r="E53" s="124">
        <f t="shared" ca="1" si="2"/>
        <v>39083.799999999988</v>
      </c>
      <c r="F53" s="124">
        <v>45228</v>
      </c>
      <c r="G53" s="127">
        <f t="shared" ca="1" si="3"/>
        <v>39305.666666666672</v>
      </c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</row>
    <row r="54" spans="1:27" s="24" customFormat="1" x14ac:dyDescent="0.25">
      <c r="A54" s="119"/>
      <c r="B54" s="123" t="s">
        <v>124</v>
      </c>
      <c r="C54" s="124">
        <f ca="1">SUMIF('2016'!C27:D98,B54,'2016'!D27:D98)</f>
        <v>977.1</v>
      </c>
      <c r="D54" s="125">
        <f>SUMIF('2016'!$C$3:$C$74,B54,'2016'!$H$3:$H$74)</f>
        <v>94.763570000000016</v>
      </c>
      <c r="E54" s="124">
        <f t="shared" ca="1" si="2"/>
        <v>40060.899999999987</v>
      </c>
      <c r="F54" s="124">
        <v>45228</v>
      </c>
      <c r="G54" s="127">
        <f t="shared" ca="1" si="3"/>
        <v>40176.583333333336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</row>
    <row r="55" spans="1:27" x14ac:dyDescent="0.25">
      <c r="A55" s="119"/>
      <c r="B55" s="123" t="s">
        <v>125</v>
      </c>
      <c r="C55" s="124"/>
      <c r="D55" s="128"/>
      <c r="E55" s="124">
        <f t="shared" ref="E55:E62" ca="1" si="4">E54+C55</f>
        <v>40060.899999999987</v>
      </c>
      <c r="F55" s="124">
        <v>45228</v>
      </c>
      <c r="G55" s="127">
        <f t="shared" ref="G55:G62" ca="1" si="5">G54+AVERAGE(C49:C54)</f>
        <v>41093.166666666672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</row>
    <row r="56" spans="1:27" x14ac:dyDescent="0.25">
      <c r="A56" s="119"/>
      <c r="B56" s="123" t="s">
        <v>126</v>
      </c>
      <c r="C56" s="124"/>
      <c r="D56" s="128"/>
      <c r="E56" s="124">
        <f t="shared" ca="1" si="4"/>
        <v>40060.899999999987</v>
      </c>
      <c r="F56" s="124">
        <v>45228</v>
      </c>
      <c r="G56" s="127">
        <f t="shared" ca="1" si="5"/>
        <v>41974.126666666671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</row>
    <row r="57" spans="1:27" x14ac:dyDescent="0.25">
      <c r="A57" s="119"/>
      <c r="B57" s="123" t="s">
        <v>127</v>
      </c>
      <c r="C57" s="124"/>
      <c r="D57" s="128"/>
      <c r="E57" s="124">
        <f t="shared" ca="1" si="4"/>
        <v>40060.899999999987</v>
      </c>
      <c r="F57" s="124">
        <v>45228</v>
      </c>
      <c r="G57" s="127">
        <f t="shared" ca="1" si="5"/>
        <v>42812.651666666672</v>
      </c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</row>
    <row r="58" spans="1:27" x14ac:dyDescent="0.25">
      <c r="A58" s="119"/>
      <c r="B58" s="123" t="s">
        <v>128</v>
      </c>
      <c r="C58" s="124"/>
      <c r="D58" s="128"/>
      <c r="E58" s="124">
        <f t="shared" ca="1" si="4"/>
        <v>40060.899999999987</v>
      </c>
      <c r="F58" s="124">
        <v>45228</v>
      </c>
      <c r="G58" s="127">
        <f t="shared" ca="1" si="5"/>
        <v>43686.285000000003</v>
      </c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</row>
    <row r="59" spans="1:27" x14ac:dyDescent="0.25">
      <c r="A59" s="119"/>
      <c r="B59" s="123" t="s">
        <v>129</v>
      </c>
      <c r="C59" s="124"/>
      <c r="D59" s="128"/>
      <c r="E59" s="124">
        <f t="shared" ca="1" si="4"/>
        <v>40060.899999999987</v>
      </c>
      <c r="F59" s="124">
        <v>45228</v>
      </c>
      <c r="G59" s="127">
        <f t="shared" ca="1" si="5"/>
        <v>44327.185000000005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</row>
    <row r="60" spans="1:27" x14ac:dyDescent="0.25">
      <c r="A60" s="119"/>
      <c r="B60" s="123" t="s">
        <v>130</v>
      </c>
      <c r="C60" s="124"/>
      <c r="D60" s="128"/>
      <c r="E60" s="124">
        <f t="shared" ca="1" si="4"/>
        <v>40060.899999999987</v>
      </c>
      <c r="F60" s="124">
        <v>45228</v>
      </c>
      <c r="G60" s="127">
        <f t="shared" ca="1" si="5"/>
        <v>45304.285000000003</v>
      </c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</row>
    <row r="61" spans="1:27" x14ac:dyDescent="0.25">
      <c r="A61" s="119"/>
      <c r="B61" s="123" t="s">
        <v>131</v>
      </c>
      <c r="C61" s="124"/>
      <c r="D61" s="128"/>
      <c r="E61" s="124">
        <f t="shared" ca="1" si="4"/>
        <v>40060.899999999987</v>
      </c>
      <c r="F61" s="124">
        <v>45228</v>
      </c>
      <c r="G61" s="127" t="e">
        <f t="shared" ca="1" si="5"/>
        <v>#DIV/0!</v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</row>
    <row r="62" spans="1:27" x14ac:dyDescent="0.25">
      <c r="A62" s="119"/>
      <c r="B62" s="123" t="s">
        <v>132</v>
      </c>
      <c r="C62" s="124"/>
      <c r="D62" s="128"/>
      <c r="E62" s="124">
        <f t="shared" ca="1" si="4"/>
        <v>40060.899999999987</v>
      </c>
      <c r="F62" s="124">
        <v>45228</v>
      </c>
      <c r="G62" s="127" t="e">
        <f t="shared" ca="1" si="5"/>
        <v>#DIV/0!</v>
      </c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</row>
    <row r="63" spans="1:27" x14ac:dyDescent="0.25">
      <c r="A63" s="119"/>
      <c r="B63" s="123" t="s">
        <v>97</v>
      </c>
      <c r="C63" s="129">
        <f ca="1">AVERAGE(C30:C51)</f>
        <v>810.72727272727275</v>
      </c>
      <c r="D63" s="125">
        <f>AVERAGE(D30:D51)</f>
        <v>82.05762454545453</v>
      </c>
      <c r="E63" s="126"/>
      <c r="F63" s="126"/>
      <c r="G63" s="126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</row>
    <row r="64" spans="1:27" x14ac:dyDescent="0.25">
      <c r="A64" s="119"/>
      <c r="B64" s="119"/>
      <c r="C64" s="121"/>
      <c r="D64" s="121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</row>
    <row r="65" spans="1:27" x14ac:dyDescent="0.25">
      <c r="A65" s="119"/>
      <c r="B65" s="119"/>
      <c r="C65" s="121"/>
      <c r="D65" s="121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</row>
    <row r="66" spans="1:27" x14ac:dyDescent="0.25">
      <c r="A66" s="119"/>
      <c r="B66" s="119"/>
      <c r="C66" s="121"/>
      <c r="D66" s="121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</row>
    <row r="67" spans="1:27" x14ac:dyDescent="0.25">
      <c r="A67" s="119"/>
      <c r="B67" s="119"/>
      <c r="C67" s="121"/>
      <c r="D67" s="121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</row>
    <row r="68" spans="1:27" x14ac:dyDescent="0.25">
      <c r="A68" s="119"/>
      <c r="B68" s="119"/>
      <c r="C68" s="121"/>
      <c r="D68" s="121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</row>
    <row r="69" spans="1:27" x14ac:dyDescent="0.25">
      <c r="A69" s="119"/>
      <c r="B69" s="119"/>
      <c r="C69" s="121"/>
      <c r="D69" s="121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</row>
    <row r="70" spans="1:27" x14ac:dyDescent="0.25">
      <c r="A70" s="119"/>
      <c r="B70" s="119"/>
      <c r="C70" s="121"/>
      <c r="D70" s="121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</row>
    <row r="71" spans="1:27" x14ac:dyDescent="0.25">
      <c r="A71" s="119"/>
      <c r="B71" s="119"/>
      <c r="C71" s="121"/>
      <c r="D71" s="121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</row>
    <row r="72" spans="1:27" x14ac:dyDescent="0.25">
      <c r="A72" s="119"/>
      <c r="B72" s="119"/>
      <c r="C72" s="121"/>
      <c r="D72" s="121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</row>
    <row r="73" spans="1:27" x14ac:dyDescent="0.25">
      <c r="A73" s="119"/>
      <c r="B73" s="119"/>
      <c r="C73" s="121"/>
      <c r="D73" s="121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</row>
    <row r="74" spans="1:27" x14ac:dyDescent="0.25">
      <c r="A74" s="119"/>
      <c r="B74" s="119"/>
      <c r="C74" s="121"/>
      <c r="D74" s="121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</row>
    <row r="75" spans="1:27" x14ac:dyDescent="0.25">
      <c r="A75" s="119"/>
      <c r="B75" s="119"/>
      <c r="C75" s="121"/>
      <c r="D75" s="121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</row>
    <row r="76" spans="1:27" x14ac:dyDescent="0.25">
      <c r="A76" s="119"/>
      <c r="B76" s="119"/>
      <c r="C76" s="121"/>
      <c r="D76" s="121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</row>
    <row r="77" spans="1:27" x14ac:dyDescent="0.25">
      <c r="A77" s="119"/>
      <c r="B77" s="119"/>
      <c r="C77" s="121"/>
      <c r="D77" s="121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</row>
    <row r="78" spans="1:27" x14ac:dyDescent="0.25">
      <c r="A78" s="119"/>
      <c r="B78" s="119"/>
      <c r="C78" s="121"/>
      <c r="D78" s="121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</row>
    <row r="79" spans="1:27" x14ac:dyDescent="0.25">
      <c r="A79" s="119"/>
      <c r="B79" s="119"/>
      <c r="C79" s="121"/>
      <c r="D79" s="121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</row>
    <row r="80" spans="1:27" x14ac:dyDescent="0.25">
      <c r="A80" s="119"/>
      <c r="B80" s="119"/>
      <c r="C80" s="121"/>
      <c r="D80" s="121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</row>
    <row r="81" spans="1:27" x14ac:dyDescent="0.25">
      <c r="A81" s="119"/>
      <c r="B81" s="119"/>
      <c r="C81" s="121"/>
      <c r="D81" s="121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</row>
    <row r="82" spans="1:27" x14ac:dyDescent="0.25">
      <c r="A82" s="119"/>
      <c r="B82" s="119"/>
      <c r="C82" s="121"/>
      <c r="D82" s="121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</row>
    <row r="83" spans="1:27" x14ac:dyDescent="0.25">
      <c r="A83" s="119"/>
      <c r="B83" s="119"/>
      <c r="C83" s="121"/>
      <c r="D83" s="121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</row>
    <row r="84" spans="1:27" x14ac:dyDescent="0.25">
      <c r="A84" s="119"/>
      <c r="B84" s="119"/>
      <c r="C84" s="121"/>
      <c r="D84" s="121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</row>
    <row r="85" spans="1:27" x14ac:dyDescent="0.25">
      <c r="A85" s="119"/>
      <c r="B85" s="119"/>
      <c r="C85" s="121"/>
      <c r="D85" s="121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</row>
    <row r="86" spans="1:27" x14ac:dyDescent="0.25">
      <c r="A86" s="119"/>
      <c r="B86" s="119"/>
      <c r="C86" s="121"/>
      <c r="D86" s="121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</row>
    <row r="87" spans="1:27" x14ac:dyDescent="0.25">
      <c r="A87" s="119"/>
      <c r="B87" s="119"/>
      <c r="C87" s="121"/>
      <c r="D87" s="121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</row>
    <row r="88" spans="1:27" x14ac:dyDescent="0.25">
      <c r="A88" s="119"/>
      <c r="B88" s="119"/>
      <c r="C88" s="121"/>
      <c r="D88" s="121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</row>
    <row r="89" spans="1:27" x14ac:dyDescent="0.25">
      <c r="A89" s="119"/>
      <c r="B89" s="119"/>
      <c r="C89" s="121"/>
      <c r="D89" s="121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</row>
    <row r="90" spans="1:27" x14ac:dyDescent="0.25">
      <c r="A90" s="119"/>
      <c r="B90" s="119"/>
      <c r="C90" s="121"/>
      <c r="D90" s="121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</row>
    <row r="91" spans="1:27" x14ac:dyDescent="0.25">
      <c r="A91" s="119"/>
      <c r="B91" s="119"/>
      <c r="C91" s="121"/>
      <c r="D91" s="121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</row>
    <row r="92" spans="1:27" x14ac:dyDescent="0.25">
      <c r="A92" s="119"/>
      <c r="B92" s="119"/>
      <c r="C92" s="121"/>
      <c r="D92" s="121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</row>
    <row r="93" spans="1:27" x14ac:dyDescent="0.25">
      <c r="A93" s="119"/>
      <c r="B93" s="119"/>
      <c r="C93" s="121"/>
      <c r="D93" s="121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</row>
    <row r="94" spans="1:27" x14ac:dyDescent="0.25">
      <c r="A94" s="119"/>
      <c r="B94" s="119"/>
      <c r="C94" s="121"/>
      <c r="D94" s="121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</row>
    <row r="95" spans="1:27" x14ac:dyDescent="0.25">
      <c r="A95" s="119"/>
      <c r="B95" s="119"/>
      <c r="C95" s="121"/>
      <c r="D95" s="121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</row>
    <row r="96" spans="1:27" x14ac:dyDescent="0.25">
      <c r="A96" s="119"/>
      <c r="B96" s="119"/>
      <c r="C96" s="121"/>
      <c r="D96" s="121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</row>
    <row r="97" spans="1:27" x14ac:dyDescent="0.25">
      <c r="A97" s="119"/>
      <c r="B97" s="119"/>
      <c r="C97" s="121"/>
      <c r="D97" s="121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</row>
    <row r="98" spans="1:27" x14ac:dyDescent="0.25">
      <c r="A98" s="119"/>
      <c r="B98" s="119"/>
      <c r="C98" s="121"/>
      <c r="D98" s="121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</row>
    <row r="99" spans="1:27" x14ac:dyDescent="0.25">
      <c r="A99" s="119"/>
      <c r="B99" s="119"/>
      <c r="C99" s="121"/>
      <c r="D99" s="121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</row>
    <row r="100" spans="1:27" x14ac:dyDescent="0.25">
      <c r="A100" s="119"/>
      <c r="B100" s="119"/>
      <c r="C100" s="121"/>
      <c r="D100" s="121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</row>
    <row r="101" spans="1:27" x14ac:dyDescent="0.25">
      <c r="A101" s="119"/>
      <c r="B101" s="119"/>
      <c r="C101" s="121"/>
      <c r="D101" s="121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</row>
    <row r="102" spans="1:27" x14ac:dyDescent="0.25">
      <c r="A102" s="119"/>
      <c r="B102" s="119"/>
      <c r="C102" s="121"/>
      <c r="D102" s="121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</row>
    <row r="103" spans="1:27" x14ac:dyDescent="0.25">
      <c r="A103" s="119"/>
      <c r="B103" s="119"/>
      <c r="C103" s="121"/>
      <c r="D103" s="121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9"/>
  <sheetViews>
    <sheetView workbookViewId="0">
      <selection activeCell="G32" sqref="G32"/>
    </sheetView>
  </sheetViews>
  <sheetFormatPr defaultRowHeight="15" x14ac:dyDescent="0.25"/>
  <cols>
    <col min="1" max="1" width="1.140625" customWidth="1"/>
    <col min="2" max="2" width="19.5703125" bestFit="1" customWidth="1"/>
    <col min="3" max="3" width="23.7109375" customWidth="1"/>
    <col min="4" max="4" width="23.7109375" style="1" customWidth="1"/>
    <col min="5" max="5" width="11.28515625" customWidth="1"/>
  </cols>
  <sheetData>
    <row r="1" spans="1:29" x14ac:dyDescent="0.25">
      <c r="D1" s="121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s="24" customFormat="1" x14ac:dyDescent="0.25">
      <c r="B2" s="65" t="s">
        <v>83</v>
      </c>
      <c r="C2" s="63">
        <v>12995</v>
      </c>
      <c r="D2" s="121" t="s">
        <v>84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</row>
    <row r="3" spans="1:29" s="24" customFormat="1" x14ac:dyDescent="0.25">
      <c r="B3" s="65" t="s">
        <v>77</v>
      </c>
      <c r="C3" s="63">
        <f>'2016'!H75</f>
        <v>2096.563200000001</v>
      </c>
      <c r="D3" s="121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29" s="24" customFormat="1" x14ac:dyDescent="0.25">
      <c r="B4" s="65" t="s">
        <v>86</v>
      </c>
      <c r="C4" s="63">
        <f>E31</f>
        <v>1415.29</v>
      </c>
      <c r="D4" s="121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 s="24" customFormat="1" ht="15.75" thickBot="1" x14ac:dyDescent="0.3">
      <c r="B5" s="66" t="s">
        <v>85</v>
      </c>
      <c r="C5" s="69">
        <f ca="1">DAYS360(DATE(2016,6,30),TODAY())/365</f>
        <v>2.032876712328767</v>
      </c>
      <c r="D5" s="130" t="s">
        <v>89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spans="1:29" s="24" customFormat="1" x14ac:dyDescent="0.25">
      <c r="B6" s="67" t="s">
        <v>3</v>
      </c>
      <c r="C6" s="64">
        <f>SUM(C2:C4)</f>
        <v>16506.853200000001</v>
      </c>
      <c r="D6" s="130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:29" s="24" customFormat="1" x14ac:dyDescent="0.25">
      <c r="A7" s="119"/>
      <c r="B7" s="67" t="s">
        <v>91</v>
      </c>
      <c r="C7" s="64">
        <f ca="1">C6/C5</f>
        <v>8119.9480026954188</v>
      </c>
      <c r="D7" s="130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8" spans="1:29" s="24" customFormat="1" x14ac:dyDescent="0.25">
      <c r="A8" s="119"/>
      <c r="B8" s="68" t="s">
        <v>88</v>
      </c>
      <c r="C8" s="63">
        <f ca="1">C7/12</f>
        <v>676.66233355795157</v>
      </c>
      <c r="D8" s="130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</row>
    <row r="9" spans="1:29" s="24" customFormat="1" x14ac:dyDescent="0.25">
      <c r="A9" s="119"/>
      <c r="B9" s="68" t="s">
        <v>93</v>
      </c>
      <c r="C9" s="63">
        <f ca="1">C7/52</f>
        <v>156.15284620568113</v>
      </c>
      <c r="D9" s="130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</row>
    <row r="10" spans="1:29" s="24" customFormat="1" x14ac:dyDescent="0.25">
      <c r="A10" s="119"/>
      <c r="B10" s="68" t="s">
        <v>92</v>
      </c>
      <c r="C10" s="63">
        <f ca="1">C9/7</f>
        <v>22.307549457954448</v>
      </c>
      <c r="D10" s="130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spans="1:29" s="24" customFormat="1" x14ac:dyDescent="0.25">
      <c r="A11" s="119"/>
      <c r="D11" s="130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1:29" s="24" customFormat="1" ht="45" x14ac:dyDescent="0.25">
      <c r="A12" s="119"/>
      <c r="B12" s="110" t="s">
        <v>134</v>
      </c>
      <c r="C12" s="111">
        <f>(C6/250)/12</f>
        <v>5.5022844000000006</v>
      </c>
      <c r="D12" s="131" t="s">
        <v>89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1:29" s="24" customFormat="1" x14ac:dyDescent="0.25">
      <c r="A13" s="119"/>
      <c r="B13" s="119"/>
      <c r="C13" s="119"/>
      <c r="D13" s="121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spans="1:29" s="24" customFormat="1" x14ac:dyDescent="0.25">
      <c r="A14" s="119"/>
      <c r="B14" s="119"/>
      <c r="C14" s="119"/>
      <c r="D14" s="121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29" x14ac:dyDescent="0.25">
      <c r="A15" s="119"/>
      <c r="B15" s="19" t="s">
        <v>0</v>
      </c>
      <c r="C15" s="19" t="s">
        <v>80</v>
      </c>
      <c r="D15" s="19" t="s">
        <v>82</v>
      </c>
      <c r="E15" s="23" t="s">
        <v>44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</row>
    <row r="16" spans="1:29" x14ac:dyDescent="0.25">
      <c r="A16" s="119"/>
      <c r="B16" s="61">
        <v>42733</v>
      </c>
      <c r="C16" s="22" t="s">
        <v>45</v>
      </c>
      <c r="D16" s="20">
        <v>24774</v>
      </c>
      <c r="E16" s="28">
        <v>64.8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x14ac:dyDescent="0.25">
      <c r="A17" s="119"/>
      <c r="B17" s="61">
        <v>42733</v>
      </c>
      <c r="C17" s="22" t="s">
        <v>46</v>
      </c>
      <c r="D17" s="20">
        <v>24774</v>
      </c>
      <c r="E17" s="28">
        <v>19</v>
      </c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1:29" x14ac:dyDescent="0.25">
      <c r="A18" s="119"/>
      <c r="B18" s="115">
        <v>42786</v>
      </c>
      <c r="C18" s="116" t="s">
        <v>53</v>
      </c>
      <c r="D18" s="117">
        <v>26226</v>
      </c>
      <c r="E18" s="118">
        <v>35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1:29" s="24" customFormat="1" x14ac:dyDescent="0.25">
      <c r="A19" s="119"/>
      <c r="B19" s="112">
        <v>42796</v>
      </c>
      <c r="C19" s="113" t="s">
        <v>81</v>
      </c>
      <c r="D19" s="29">
        <v>26706</v>
      </c>
      <c r="E19" s="114">
        <v>345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</row>
    <row r="20" spans="1:29" x14ac:dyDescent="0.25">
      <c r="A20" s="119"/>
      <c r="B20" s="61">
        <v>42917</v>
      </c>
      <c r="C20" s="22" t="s">
        <v>55</v>
      </c>
      <c r="D20" s="20">
        <v>28853</v>
      </c>
      <c r="E20" s="28">
        <v>181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</row>
    <row r="21" spans="1:29" x14ac:dyDescent="0.25">
      <c r="A21" s="119"/>
      <c r="B21" s="61">
        <v>42961</v>
      </c>
      <c r="C21" s="22" t="s">
        <v>79</v>
      </c>
      <c r="D21" s="20">
        <v>30000</v>
      </c>
      <c r="E21" s="28">
        <v>36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</row>
    <row r="22" spans="1:29" x14ac:dyDescent="0.25">
      <c r="A22" s="119"/>
      <c r="B22" s="115">
        <v>43152</v>
      </c>
      <c r="C22" s="116" t="s">
        <v>53</v>
      </c>
      <c r="D22" s="117">
        <v>35228</v>
      </c>
      <c r="E22" s="118">
        <v>39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</row>
    <row r="23" spans="1:29" x14ac:dyDescent="0.25">
      <c r="A23" s="119"/>
      <c r="B23" s="112">
        <v>43152</v>
      </c>
      <c r="C23" s="113" t="s">
        <v>133</v>
      </c>
      <c r="D23" s="29">
        <v>35228</v>
      </c>
      <c r="E23" s="114">
        <v>195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</row>
    <row r="24" spans="1:29" x14ac:dyDescent="0.25">
      <c r="A24" s="119"/>
      <c r="B24" s="61">
        <v>43214</v>
      </c>
      <c r="C24" s="22" t="s">
        <v>135</v>
      </c>
      <c r="D24" s="20">
        <v>37306</v>
      </c>
      <c r="E24" s="28">
        <v>5.49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</row>
    <row r="25" spans="1:29" x14ac:dyDescent="0.25">
      <c r="A25" s="119"/>
      <c r="B25" s="61">
        <v>43279</v>
      </c>
      <c r="C25" s="22" t="s">
        <v>136</v>
      </c>
      <c r="D25" s="20">
        <v>39000</v>
      </c>
      <c r="E25" s="28">
        <v>495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1:29" x14ac:dyDescent="0.25">
      <c r="A26" s="119"/>
      <c r="B26" s="61"/>
      <c r="C26" s="22"/>
      <c r="D26" s="20"/>
      <c r="E26" s="28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spans="1:29" x14ac:dyDescent="0.25">
      <c r="A27" s="119"/>
      <c r="B27" s="61"/>
      <c r="C27" s="22"/>
      <c r="D27" s="20"/>
      <c r="E27" s="28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</row>
    <row r="28" spans="1:29" x14ac:dyDescent="0.25">
      <c r="A28" s="119"/>
      <c r="B28" s="61"/>
      <c r="C28" s="22"/>
      <c r="D28" s="20"/>
      <c r="E28" s="28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29" x14ac:dyDescent="0.25">
      <c r="A29" s="119"/>
      <c r="B29" s="61"/>
      <c r="C29" s="22"/>
      <c r="D29" s="20"/>
      <c r="E29" s="28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</row>
    <row r="30" spans="1:29" x14ac:dyDescent="0.25">
      <c r="A30" s="119"/>
      <c r="B30" s="61"/>
      <c r="C30" s="22"/>
      <c r="D30" s="20"/>
      <c r="E30" s="28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</row>
    <row r="31" spans="1:29" x14ac:dyDescent="0.25">
      <c r="A31" s="119"/>
      <c r="B31" s="119"/>
      <c r="C31" s="119"/>
      <c r="D31" s="122" t="s">
        <v>87</v>
      </c>
      <c r="E31" s="132">
        <f>SUM(E16:E30)</f>
        <v>1415.29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</row>
    <row r="32" spans="1:29" x14ac:dyDescent="0.25">
      <c r="A32" s="119"/>
      <c r="B32" s="119"/>
      <c r="C32" s="119"/>
      <c r="D32" s="121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</row>
    <row r="33" spans="1:29" x14ac:dyDescent="0.25">
      <c r="A33" s="119"/>
      <c r="B33" s="119"/>
      <c r="C33" s="119"/>
      <c r="D33" s="121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</row>
    <row r="34" spans="1:29" x14ac:dyDescent="0.25">
      <c r="A34" s="119"/>
      <c r="B34" s="119"/>
      <c r="C34" s="119"/>
      <c r="D34" s="121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</row>
    <row r="35" spans="1:29" x14ac:dyDescent="0.25">
      <c r="A35" s="119"/>
      <c r="B35" s="119"/>
      <c r="C35" s="119"/>
      <c r="D35" s="121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</row>
    <row r="36" spans="1:29" x14ac:dyDescent="0.25">
      <c r="A36" s="119"/>
      <c r="B36" s="119"/>
      <c r="C36" s="119"/>
      <c r="D36" s="121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</row>
    <row r="37" spans="1:29" x14ac:dyDescent="0.25">
      <c r="A37" s="119"/>
      <c r="B37" s="119"/>
      <c r="C37" s="119"/>
      <c r="D37" s="121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</row>
    <row r="38" spans="1:29" x14ac:dyDescent="0.25">
      <c r="A38" s="119"/>
      <c r="B38" s="119"/>
      <c r="C38" s="119"/>
      <c r="D38" s="121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</row>
    <row r="39" spans="1:29" x14ac:dyDescent="0.25">
      <c r="A39" s="119"/>
      <c r="B39" s="119"/>
      <c r="C39" s="119"/>
      <c r="D39" s="121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</row>
    <row r="40" spans="1:29" x14ac:dyDescent="0.25">
      <c r="A40" s="119"/>
      <c r="B40" s="119"/>
      <c r="C40" s="119"/>
      <c r="D40" s="121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</row>
    <row r="41" spans="1:29" x14ac:dyDescent="0.25">
      <c r="A41" s="119"/>
      <c r="B41" s="119"/>
      <c r="C41" s="119"/>
      <c r="D41" s="121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</row>
    <row r="42" spans="1:29" x14ac:dyDescent="0.25">
      <c r="B42" s="119"/>
      <c r="C42" s="119"/>
      <c r="D42" s="121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</row>
    <row r="43" spans="1:29" x14ac:dyDescent="0.25">
      <c r="B43" s="119"/>
      <c r="C43" s="119"/>
      <c r="D43" s="121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</row>
    <row r="44" spans="1:29" x14ac:dyDescent="0.25">
      <c r="B44" s="119"/>
      <c r="C44" s="119"/>
      <c r="D44" s="121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</row>
    <row r="45" spans="1:29" x14ac:dyDescent="0.25">
      <c r="B45" s="119"/>
      <c r="C45" s="119"/>
      <c r="D45" s="121"/>
      <c r="E45" s="119"/>
      <c r="W45" s="119"/>
      <c r="X45" s="119"/>
      <c r="Y45" s="119"/>
      <c r="Z45" s="119"/>
      <c r="AA45" s="119"/>
      <c r="AB45" s="119"/>
      <c r="AC45" s="119"/>
    </row>
    <row r="46" spans="1:29" x14ac:dyDescent="0.25">
      <c r="B46" s="119"/>
      <c r="C46" s="119"/>
      <c r="D46" s="121"/>
      <c r="E46" s="119"/>
      <c r="W46" s="119"/>
      <c r="X46" s="119"/>
      <c r="Y46" s="119"/>
      <c r="Z46" s="119"/>
      <c r="AA46" s="119"/>
      <c r="AB46" s="119"/>
      <c r="AC46" s="119"/>
    </row>
    <row r="47" spans="1:29" x14ac:dyDescent="0.25">
      <c r="B47" s="119"/>
      <c r="C47" s="119"/>
      <c r="D47" s="121"/>
      <c r="E47" s="119"/>
    </row>
    <row r="48" spans="1:29" x14ac:dyDescent="0.25">
      <c r="B48" s="119"/>
      <c r="C48" s="119"/>
      <c r="D48" s="121"/>
      <c r="E48" s="119"/>
    </row>
    <row r="49" spans="2:5" x14ac:dyDescent="0.25">
      <c r="B49" s="119"/>
      <c r="C49" s="119"/>
      <c r="D49" s="121"/>
      <c r="E49" s="1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D38"/>
  <sheetViews>
    <sheetView workbookViewId="0"/>
  </sheetViews>
  <sheetFormatPr defaultRowHeight="15" x14ac:dyDescent="0.25"/>
  <cols>
    <col min="1" max="1" width="0.85546875" customWidth="1"/>
    <col min="2" max="2" width="25.85546875" bestFit="1" customWidth="1"/>
    <col min="3" max="3" width="12.85546875" style="62" bestFit="1" customWidth="1"/>
    <col min="4" max="4" width="10.28515625" bestFit="1" customWidth="1"/>
  </cols>
  <sheetData>
    <row r="1" spans="2:4" ht="6" customHeight="1" thickBot="1" x14ac:dyDescent="0.3"/>
    <row r="2" spans="2:4" s="24" customFormat="1" ht="15.75" thickBot="1" x14ac:dyDescent="0.3">
      <c r="B2" s="90" t="s">
        <v>108</v>
      </c>
      <c r="C2" s="91"/>
      <c r="D2" s="92"/>
    </row>
    <row r="3" spans="2:4" s="24" customFormat="1" x14ac:dyDescent="0.25">
      <c r="B3" s="88" t="s">
        <v>11</v>
      </c>
      <c r="C3" s="96">
        <f>Inputs!C3+'2016'!D75</f>
        <v>40060.9</v>
      </c>
      <c r="D3" s="89" t="s">
        <v>42</v>
      </c>
    </row>
    <row r="4" spans="2:4" s="24" customFormat="1" x14ac:dyDescent="0.25">
      <c r="B4" s="88" t="s">
        <v>102</v>
      </c>
      <c r="C4" s="100">
        <f>'2016'!D75</f>
        <v>20456.900000000001</v>
      </c>
      <c r="D4" s="89" t="s">
        <v>42</v>
      </c>
    </row>
    <row r="5" spans="2:4" s="24" customFormat="1" x14ac:dyDescent="0.25">
      <c r="B5" s="88" t="s">
        <v>43</v>
      </c>
      <c r="C5" s="80">
        <v>43161</v>
      </c>
      <c r="D5" s="89"/>
    </row>
    <row r="6" spans="2:4" s="24" customFormat="1" x14ac:dyDescent="0.25">
      <c r="B6" s="88" t="s">
        <v>12</v>
      </c>
      <c r="C6" s="99">
        <f>Inputs!C6-Summary!C3</f>
        <v>-3829.9000000000015</v>
      </c>
      <c r="D6" s="89" t="s">
        <v>42</v>
      </c>
    </row>
    <row r="7" spans="2:4" s="24" customFormat="1" x14ac:dyDescent="0.25">
      <c r="B7" s="88" t="s">
        <v>118</v>
      </c>
      <c r="C7" s="100">
        <f ca="1">C4/('Running Costs'!C5*12)</f>
        <v>838.58586028751131</v>
      </c>
      <c r="D7" s="89" t="s">
        <v>119</v>
      </c>
    </row>
    <row r="8" spans="2:4" s="24" customFormat="1" ht="15.75" thickBot="1" x14ac:dyDescent="0.3">
      <c r="B8" s="88"/>
      <c r="C8" s="82"/>
      <c r="D8" s="89"/>
    </row>
    <row r="9" spans="2:4" ht="15.75" thickBot="1" x14ac:dyDescent="0.3">
      <c r="B9" s="90" t="s">
        <v>99</v>
      </c>
      <c r="C9" s="91"/>
      <c r="D9" s="92"/>
    </row>
    <row r="10" spans="2:4" s="24" customFormat="1" x14ac:dyDescent="0.25">
      <c r="B10" s="88" t="s">
        <v>100</v>
      </c>
      <c r="C10" s="102">
        <f>'2016'!N75</f>
        <v>52.204183609098315</v>
      </c>
      <c r="D10" s="89" t="s">
        <v>110</v>
      </c>
    </row>
    <row r="11" spans="2:4" s="24" customFormat="1" x14ac:dyDescent="0.25">
      <c r="B11" s="88" t="s">
        <v>116</v>
      </c>
      <c r="C11" s="103">
        <f>C10/Inputs!C4</f>
        <v>0.75768045876775492</v>
      </c>
      <c r="D11" s="89" t="s">
        <v>109</v>
      </c>
    </row>
    <row r="12" spans="2:4" s="24" customFormat="1" x14ac:dyDescent="0.25">
      <c r="B12" s="88" t="s">
        <v>101</v>
      </c>
      <c r="C12" s="102">
        <f>'2016'!J75</f>
        <v>56.275806451612901</v>
      </c>
      <c r="D12" s="89" t="s">
        <v>110</v>
      </c>
    </row>
    <row r="13" spans="2:4" s="24" customFormat="1" x14ac:dyDescent="0.25">
      <c r="B13" s="88" t="s">
        <v>117</v>
      </c>
      <c r="C13" s="103">
        <f>C12/Inputs!C4</f>
        <v>0.81677512992181267</v>
      </c>
      <c r="D13" s="89" t="s">
        <v>109</v>
      </c>
    </row>
    <row r="14" spans="2:4" s="24" customFormat="1" ht="15" customHeight="1" x14ac:dyDescent="0.25">
      <c r="B14" s="88" t="s">
        <v>75</v>
      </c>
      <c r="C14" s="104">
        <f>'2016'!Q75</f>
        <v>4.0716228425145848</v>
      </c>
      <c r="D14" s="89" t="s">
        <v>110</v>
      </c>
    </row>
    <row r="15" spans="2:4" ht="15" customHeight="1" x14ac:dyDescent="0.25">
      <c r="B15" s="88" t="s">
        <v>76</v>
      </c>
      <c r="C15" s="105">
        <f>'2016'!R75</f>
        <v>7.889814233379891E-2</v>
      </c>
      <c r="D15" s="89" t="s">
        <v>109</v>
      </c>
    </row>
    <row r="16" spans="2:4" ht="15" customHeight="1" x14ac:dyDescent="0.25">
      <c r="B16" s="88" t="s">
        <v>105</v>
      </c>
      <c r="C16" s="106">
        <f>MIN('2016'!K3:K74)</f>
        <v>47.264327149090903</v>
      </c>
      <c r="D16" s="89" t="s">
        <v>110</v>
      </c>
    </row>
    <row r="17" spans="2:4" x14ac:dyDescent="0.25">
      <c r="B17" s="88" t="s">
        <v>74</v>
      </c>
      <c r="C17" s="106">
        <f>MEDIAN('2016'!K3:K74)</f>
        <v>51.567202036516854</v>
      </c>
      <c r="D17" s="89" t="s">
        <v>110</v>
      </c>
    </row>
    <row r="18" spans="2:4" x14ac:dyDescent="0.25">
      <c r="B18" s="88" t="s">
        <v>106</v>
      </c>
      <c r="C18" s="106">
        <f>MAX('2016'!K3:K74)</f>
        <v>61.113084391736798</v>
      </c>
      <c r="D18" s="89" t="s">
        <v>110</v>
      </c>
    </row>
    <row r="19" spans="2:4" ht="15.75" thickBot="1" x14ac:dyDescent="0.3">
      <c r="B19" s="88"/>
      <c r="C19" s="82"/>
      <c r="D19" s="89"/>
    </row>
    <row r="20" spans="2:4" ht="15.75" thickBot="1" x14ac:dyDescent="0.3">
      <c r="B20" s="90" t="s">
        <v>103</v>
      </c>
      <c r="C20" s="91"/>
      <c r="D20" s="92"/>
    </row>
    <row r="21" spans="2:4" x14ac:dyDescent="0.25">
      <c r="B21" s="88" t="s">
        <v>6</v>
      </c>
      <c r="C21" s="102">
        <f>'2016'!F75</f>
        <v>1827.1899999999991</v>
      </c>
      <c r="D21" s="89" t="s">
        <v>107</v>
      </c>
    </row>
    <row r="22" spans="2:4" x14ac:dyDescent="0.25">
      <c r="B22" s="88" t="s">
        <v>3</v>
      </c>
      <c r="C22" s="84">
        <f>'2016'!H75</f>
        <v>2096.563200000001</v>
      </c>
      <c r="D22" s="89"/>
    </row>
    <row r="23" spans="2:4" s="24" customFormat="1" x14ac:dyDescent="0.25">
      <c r="B23" s="88" t="s">
        <v>104</v>
      </c>
      <c r="C23" s="101">
        <f>C4/C22</f>
        <v>9.7573495518761337</v>
      </c>
      <c r="D23" s="89" t="s">
        <v>47</v>
      </c>
    </row>
    <row r="24" spans="2:4" s="24" customFormat="1" x14ac:dyDescent="0.25">
      <c r="B24" s="81"/>
      <c r="C24" s="82"/>
      <c r="D24" s="83"/>
    </row>
    <row r="25" spans="2:4" s="24" customFormat="1" x14ac:dyDescent="0.25">
      <c r="B25" s="81"/>
      <c r="C25" s="82"/>
      <c r="D25" s="83"/>
    </row>
    <row r="26" spans="2:4" x14ac:dyDescent="0.25">
      <c r="B26" s="81"/>
      <c r="C26" s="82"/>
      <c r="D26" s="83"/>
    </row>
    <row r="27" spans="2:4" x14ac:dyDescent="0.25">
      <c r="B27" s="81"/>
      <c r="C27" s="82"/>
      <c r="D27" s="83"/>
    </row>
    <row r="28" spans="2:4" x14ac:dyDescent="0.25">
      <c r="B28" s="81"/>
      <c r="C28" s="82"/>
      <c r="D28" s="83"/>
    </row>
    <row r="29" spans="2:4" x14ac:dyDescent="0.25">
      <c r="B29" s="81"/>
      <c r="C29" s="82"/>
      <c r="D29" s="83"/>
    </row>
    <row r="30" spans="2:4" x14ac:dyDescent="0.25">
      <c r="B30" s="81"/>
      <c r="C30" s="82"/>
      <c r="D30" s="83"/>
    </row>
    <row r="31" spans="2:4" x14ac:dyDescent="0.25">
      <c r="B31" s="81"/>
      <c r="C31" s="82"/>
      <c r="D31" s="83"/>
    </row>
    <row r="32" spans="2:4" x14ac:dyDescent="0.25">
      <c r="B32" s="81"/>
      <c r="C32" s="82"/>
      <c r="D32" s="83"/>
    </row>
    <row r="33" spans="2:4" x14ac:dyDescent="0.25">
      <c r="B33" s="81"/>
      <c r="C33" s="82"/>
      <c r="D33" s="83"/>
    </row>
    <row r="34" spans="2:4" x14ac:dyDescent="0.25">
      <c r="B34" s="81"/>
      <c r="C34" s="82"/>
      <c r="D34" s="83"/>
    </row>
    <row r="35" spans="2:4" x14ac:dyDescent="0.25">
      <c r="B35" s="81"/>
      <c r="C35" s="82"/>
      <c r="D35" s="83"/>
    </row>
    <row r="36" spans="2:4" x14ac:dyDescent="0.25">
      <c r="B36" s="81"/>
      <c r="C36" s="82"/>
      <c r="D36" s="83"/>
    </row>
    <row r="37" spans="2:4" x14ac:dyDescent="0.25">
      <c r="B37" s="81"/>
      <c r="C37" s="82"/>
      <c r="D37" s="83"/>
    </row>
    <row r="38" spans="2:4" ht="15.75" thickBot="1" x14ac:dyDescent="0.3">
      <c r="B38" s="85"/>
      <c r="C38" s="86"/>
      <c r="D38" s="87"/>
    </row>
  </sheetData>
  <conditionalFormatting sqref="C5">
    <cfRule type="expression" dxfId="7" priority="5" stopIfTrue="1">
      <formula>TODAY()&gt;C5</formula>
    </cfRule>
    <cfRule type="expression" dxfId="6" priority="6" stopIfTrue="1">
      <formula>TODAY()&gt;C5-15</formula>
    </cfRule>
    <cfRule type="expression" dxfId="5" priority="7" stopIfTrue="1">
      <formula>TODAY()&gt;C5-30</formula>
    </cfRule>
    <cfRule type="expression" dxfId="4" priority="8" stopIfTrue="1">
      <formula>TODAY()&gt;C5-45</formula>
    </cfRule>
  </conditionalFormatting>
  <pageMargins left="0.7" right="0.7" top="0.75" bottom="0.75" header="0.3" footer="0.3"/>
  <ignoredErrors>
    <ignoredError sqref="C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</sheetPr>
  <dimension ref="A1:D7"/>
  <sheetViews>
    <sheetView workbookViewId="0"/>
  </sheetViews>
  <sheetFormatPr defaultRowHeight="15" x14ac:dyDescent="0.25"/>
  <cols>
    <col min="1" max="1" width="1.140625" style="24" customWidth="1"/>
    <col min="2" max="2" width="20" bestFit="1" customWidth="1"/>
    <col min="3" max="3" width="10.7109375" bestFit="1" customWidth="1"/>
  </cols>
  <sheetData>
    <row r="1" spans="2:4" s="24" customFormat="1" ht="6" customHeight="1" thickBot="1" x14ac:dyDescent="0.3"/>
    <row r="2" spans="2:4" ht="15.75" thickBot="1" x14ac:dyDescent="0.3">
      <c r="B2" s="90" t="s">
        <v>111</v>
      </c>
      <c r="C2" s="91"/>
      <c r="D2" s="92"/>
    </row>
    <row r="3" spans="2:4" x14ac:dyDescent="0.25">
      <c r="B3" s="88" t="s">
        <v>112</v>
      </c>
      <c r="C3" s="95">
        <v>19604</v>
      </c>
      <c r="D3" s="89" t="s">
        <v>42</v>
      </c>
    </row>
    <row r="4" spans="2:4" x14ac:dyDescent="0.25">
      <c r="B4" s="88" t="s">
        <v>113</v>
      </c>
      <c r="C4" s="93">
        <v>68.900000000000006</v>
      </c>
      <c r="D4" s="89" t="s">
        <v>110</v>
      </c>
    </row>
    <row r="5" spans="2:4" x14ac:dyDescent="0.25">
      <c r="B5" s="88" t="s">
        <v>114</v>
      </c>
      <c r="C5" s="94">
        <v>43161</v>
      </c>
      <c r="D5" s="89"/>
    </row>
    <row r="6" spans="2:4" x14ac:dyDescent="0.25">
      <c r="B6" s="88" t="s">
        <v>115</v>
      </c>
      <c r="C6" s="95">
        <v>36231</v>
      </c>
      <c r="D6" s="89" t="s">
        <v>42</v>
      </c>
    </row>
    <row r="7" spans="2:4" ht="15.75" thickBot="1" x14ac:dyDescent="0.3">
      <c r="B7" s="97"/>
      <c r="C7" s="86"/>
      <c r="D7" s="98"/>
    </row>
  </sheetData>
  <conditionalFormatting sqref="C5">
    <cfRule type="expression" dxfId="3" priority="1" stopIfTrue="1">
      <formula>TODAY()&gt;C5</formula>
    </cfRule>
    <cfRule type="expression" dxfId="2" priority="2" stopIfTrue="1">
      <formula>TODAY()&gt;C5-15</formula>
    </cfRule>
    <cfRule type="expression" dxfId="1" priority="3" stopIfTrue="1">
      <formula>TODAY()&gt;C5-30</formula>
    </cfRule>
    <cfRule type="expression" dxfId="0" priority="4" stopIfTrue="1">
      <formula>TODAY()&gt;C5-45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</vt:lpstr>
      <vt:lpstr>Servicing</vt:lpstr>
      <vt:lpstr>Running Costs</vt:lpstr>
      <vt:lpstr>Summary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2016-07-15T23:43:57Z</dcterms:created>
  <dcterms:modified xsi:type="dcterms:W3CDTF">2018-07-22T21:21:18Z</dcterms:modified>
</cp:coreProperties>
</file>